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60" windowHeight="7080" tabRatio="779"/>
  </bookViews>
  <sheets>
    <sheet name="TIR" sheetId="5" r:id="rId1"/>
    <sheet name="TIR 1" sheetId="6" r:id="rId2"/>
    <sheet name="Custo Mensal" sheetId="7" r:id="rId3"/>
    <sheet name="TIR e VPL" sheetId="8" r:id="rId4"/>
    <sheet name="Taxa de Desconto" sheetId="10" r:id="rId5"/>
    <sheet name="Melhor Projeto" sheetId="11" r:id="rId6"/>
    <sheet name="Menor Custo" sheetId="12" r:id="rId7"/>
    <sheet name="Projeto Mais Viável" sheetId="13" r:id="rId8"/>
    <sheet name="VPL_TIR_CB_PB_AE" sheetId="4" r:id="rId9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4" l="1"/>
  <c r="K9" i="12"/>
  <c r="M3" i="7"/>
  <c r="M4" i="7"/>
  <c r="K10" i="5"/>
  <c r="C17" i="4" l="1"/>
  <c r="D17" i="4"/>
  <c r="E17" i="4"/>
  <c r="B17" i="4"/>
  <c r="K7" i="7"/>
  <c r="B21" i="4" l="1"/>
  <c r="L8" i="13" l="1"/>
  <c r="L9" i="13" s="1"/>
  <c r="K8" i="13"/>
  <c r="K9" i="13" s="1"/>
  <c r="L9" i="12"/>
  <c r="L11" i="12" s="1"/>
  <c r="K11" i="12"/>
  <c r="L7" i="11"/>
  <c r="K7" i="11"/>
  <c r="M7" i="11" s="1"/>
  <c r="K7" i="10"/>
  <c r="L9" i="8"/>
  <c r="K9" i="8"/>
  <c r="K10" i="8" s="1"/>
  <c r="K8" i="8"/>
  <c r="K7" i="8"/>
  <c r="K4" i="7"/>
  <c r="M2" i="7"/>
  <c r="K4" i="6"/>
  <c r="K13" i="5"/>
  <c r="K12" i="5"/>
  <c r="K11" i="5"/>
  <c r="B15" i="4" l="1"/>
  <c r="B19" i="4" l="1"/>
  <c r="B24" i="4" l="1"/>
  <c r="B11" i="4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E11" i="4"/>
  <c r="D11" i="4"/>
  <c r="C11" i="4"/>
  <c r="E5" i="4"/>
  <c r="E24" i="4" s="1"/>
  <c r="D5" i="4"/>
  <c r="C5" i="4"/>
  <c r="C24" i="4" s="1"/>
  <c r="B5" i="4"/>
  <c r="C93" i="4" l="1"/>
  <c r="B92" i="4"/>
  <c r="C15" i="4"/>
  <c r="C27" i="4" s="1"/>
  <c r="C19" i="4"/>
  <c r="C21" i="4"/>
  <c r="C22" i="4"/>
  <c r="C23" i="4"/>
  <c r="C44" i="4"/>
  <c r="B47" i="4"/>
  <c r="C48" i="4"/>
  <c r="B51" i="4"/>
  <c r="C52" i="4"/>
  <c r="B55" i="4"/>
  <c r="C56" i="4"/>
  <c r="B59" i="4"/>
  <c r="C60" i="4"/>
  <c r="B63" i="4"/>
  <c r="C64" i="4"/>
  <c r="B67" i="4"/>
  <c r="C68" i="4"/>
  <c r="B71" i="4"/>
  <c r="C72" i="4"/>
  <c r="B75" i="4"/>
  <c r="C76" i="4"/>
  <c r="B79" i="4"/>
  <c r="C80" i="4"/>
  <c r="B83" i="4"/>
  <c r="C84" i="4"/>
  <c r="B87" i="4"/>
  <c r="C88" i="4"/>
  <c r="B91" i="4"/>
  <c r="C92" i="4"/>
  <c r="D15" i="4"/>
  <c r="D27" i="4" s="1"/>
  <c r="D19" i="4"/>
  <c r="D21" i="4"/>
  <c r="D22" i="4"/>
  <c r="D23" i="4"/>
  <c r="D24" i="4"/>
  <c r="B46" i="4"/>
  <c r="C47" i="4"/>
  <c r="B50" i="4"/>
  <c r="C51" i="4"/>
  <c r="B54" i="4"/>
  <c r="C55" i="4"/>
  <c r="B58" i="4"/>
  <c r="C59" i="4"/>
  <c r="B62" i="4"/>
  <c r="C63" i="4"/>
  <c r="B66" i="4"/>
  <c r="C67" i="4"/>
  <c r="B70" i="4"/>
  <c r="C71" i="4"/>
  <c r="B74" i="4"/>
  <c r="C75" i="4"/>
  <c r="B78" i="4"/>
  <c r="C79" i="4"/>
  <c r="B82" i="4"/>
  <c r="C83" i="4"/>
  <c r="B86" i="4"/>
  <c r="C87" i="4"/>
  <c r="B90" i="4"/>
  <c r="C91" i="4"/>
  <c r="E15" i="4"/>
  <c r="E27" i="4" s="1"/>
  <c r="E19" i="4"/>
  <c r="E21" i="4"/>
  <c r="E22" i="4"/>
  <c r="E23" i="4"/>
  <c r="B45" i="4"/>
  <c r="C46" i="4"/>
  <c r="B49" i="4"/>
  <c r="C50" i="4"/>
  <c r="B53" i="4"/>
  <c r="C54" i="4"/>
  <c r="B57" i="4"/>
  <c r="C58" i="4"/>
  <c r="B61" i="4"/>
  <c r="C62" i="4"/>
  <c r="B65" i="4"/>
  <c r="C66" i="4"/>
  <c r="B69" i="4"/>
  <c r="C70" i="4"/>
  <c r="B73" i="4"/>
  <c r="C74" i="4"/>
  <c r="B77" i="4"/>
  <c r="C78" i="4"/>
  <c r="B81" i="4"/>
  <c r="C82" i="4"/>
  <c r="B85" i="4"/>
  <c r="C86" i="4"/>
  <c r="B89" i="4"/>
  <c r="C90" i="4"/>
  <c r="B93" i="4"/>
  <c r="B27" i="4"/>
  <c r="B22" i="4"/>
  <c r="B23" i="4"/>
  <c r="C45" i="4"/>
  <c r="B48" i="4"/>
  <c r="C49" i="4"/>
  <c r="B52" i="4"/>
  <c r="C53" i="4"/>
  <c r="B56" i="4"/>
  <c r="C57" i="4"/>
  <c r="B60" i="4"/>
  <c r="C61" i="4"/>
  <c r="B64" i="4"/>
  <c r="C65" i="4"/>
  <c r="B68" i="4"/>
  <c r="C69" i="4"/>
  <c r="B72" i="4"/>
  <c r="C73" i="4"/>
  <c r="B76" i="4"/>
  <c r="C77" i="4"/>
  <c r="B80" i="4"/>
  <c r="C81" i="4"/>
  <c r="B84" i="4"/>
  <c r="C85" i="4"/>
  <c r="B88" i="4"/>
  <c r="C89" i="4"/>
</calcChain>
</file>

<file path=xl/sharedStrings.xml><?xml version="1.0" encoding="utf-8"?>
<sst xmlns="http://schemas.openxmlformats.org/spreadsheetml/2006/main" count="189" uniqueCount="106">
  <si>
    <t>C</t>
  </si>
  <si>
    <t xml:space="preserve"> </t>
  </si>
  <si>
    <t>FLUXO DE CAIXA ($)</t>
  </si>
  <si>
    <t>ALTERNATIVA</t>
  </si>
  <si>
    <t>B</t>
  </si>
  <si>
    <t xml:space="preserve">A </t>
  </si>
  <si>
    <t>D</t>
  </si>
  <si>
    <t>ANO 0</t>
  </si>
  <si>
    <t>ANO 1</t>
  </si>
  <si>
    <t>ANO 2</t>
  </si>
  <si>
    <t>TIR</t>
  </si>
  <si>
    <t>RESPOSTA</t>
  </si>
  <si>
    <t>A</t>
  </si>
  <si>
    <t xml:space="preserve">ANO 0 </t>
  </si>
  <si>
    <t>ANO 3</t>
  </si>
  <si>
    <t>ANO 4</t>
  </si>
  <si>
    <t>ANO 5</t>
  </si>
  <si>
    <t>CUSTO INICIAL</t>
  </si>
  <si>
    <t>CUSTO MENSAL</t>
  </si>
  <si>
    <t>NUMERO DE MESES</t>
  </si>
  <si>
    <t>TAXA MENSAL</t>
  </si>
  <si>
    <t>RESPOSTA TIR</t>
  </si>
  <si>
    <t>A - TIR</t>
  </si>
  <si>
    <t>B- TIR = A-B</t>
  </si>
  <si>
    <t>C- VPL A E VPL B</t>
  </si>
  <si>
    <t>C- VPL A-B</t>
  </si>
  <si>
    <t xml:space="preserve">D- </t>
  </si>
  <si>
    <t>TIR A-B</t>
  </si>
  <si>
    <t>A - VPL N-V</t>
  </si>
  <si>
    <t xml:space="preserve">B- </t>
  </si>
  <si>
    <t>INVESTIMENTO INCIAL</t>
  </si>
  <si>
    <t>CUSTO OPERACIONAL</t>
  </si>
  <si>
    <t>VIDA UTIL</t>
  </si>
  <si>
    <t>CUSTO DO CAPITAL</t>
  </si>
  <si>
    <t>2 ANOS</t>
  </si>
  <si>
    <t>6 ANOS</t>
  </si>
  <si>
    <t>6%A.A.</t>
  </si>
  <si>
    <t>6% A.A</t>
  </si>
  <si>
    <t>VPL</t>
  </si>
  <si>
    <t>CAPITAL INV/FATOR DE CORREÇÃO</t>
  </si>
  <si>
    <t>CUSTO ANUAL</t>
  </si>
  <si>
    <t>CUSTO ANUAL EQUIVALENTE</t>
  </si>
  <si>
    <t>FATOR DE CORREÇÃO</t>
  </si>
  <si>
    <t>INVESTIMENTO INICIAL ($)</t>
  </si>
  <si>
    <t>CUSTO OPERACIONAL ($)</t>
  </si>
  <si>
    <t>VIDA ÚTIL (ANOS)</t>
  </si>
  <si>
    <t>PROJETO A</t>
  </si>
  <si>
    <t>PROJETO B</t>
  </si>
  <si>
    <t>Projeto A</t>
  </si>
  <si>
    <t>Projeto B</t>
  </si>
  <si>
    <t>Calcular a Taxa de Retorno (TIR) para as seguintes alternativas</t>
  </si>
  <si>
    <t>A empresa ABC instalou um sistema de água a um custo de R$50 Milhões. Os custos operacionais são de R$200.000/mês. Sua vida é estimada em 15 anos . Considere que a empresa a ABC deseja obter uma rentabilidade de mínima de 15% ao mês , determine o custo mensal que será repasado ao usuário a fim de de cobrir os gastos operacionais e remunerar corretamento  o projeto</t>
  </si>
  <si>
    <t>VPL A-B &gt; 0  = A  OU TIR A-B&gt;12% = A</t>
  </si>
  <si>
    <t>Analise um custo de capital de 12% ao ano e as seguintes alternativas de projetos mutualmente excludentes</t>
  </si>
  <si>
    <t>Analise as alternativas de projetos mutualmente excludentes. Determine a taxa de desconto que torna os projetos igualmente atrativos aos investidores</t>
  </si>
  <si>
    <t>EQPTO NOVO</t>
  </si>
  <si>
    <t>EQPTO VELHO</t>
  </si>
  <si>
    <t>MELHOR PROJETO É O B - EQUIPAMENTO VELHO</t>
  </si>
  <si>
    <t>EQUIPAMENTO VELHO - V</t>
  </si>
  <si>
    <t>EQUIPAMENTO NOVO - N</t>
  </si>
  <si>
    <t>120000/ANO</t>
  </si>
  <si>
    <t>80000/ANO</t>
  </si>
  <si>
    <t>MENOR CUSTO ANUAL DO EQUIAMENTO VELHO - V</t>
  </si>
  <si>
    <t>A empresa ABC estuda a viabilidade da troca de um equipamento velho por um novo. Seguindo as informações dos projetos, determine se a empresa ABC deve ou não trocar o equipamento.</t>
  </si>
  <si>
    <t>CUSTO DE CAPITAL POR ANO</t>
  </si>
  <si>
    <t>Qual dos dois projetos ao lado é o mais viável economicamente e deve ser executado, levando em consideração que o custo de oportunidade de capital é de 10% ao ano</t>
  </si>
  <si>
    <t>Como há informações apenas sobre os custos utilizamos a CPE para escolher o melhor projeto. Como o custo annual equivalente está menor para equipamento B - está opção é melhor.</t>
  </si>
  <si>
    <t>K (Custo do capital)</t>
  </si>
  <si>
    <t>Ano</t>
  </si>
  <si>
    <t>Projeto C</t>
  </si>
  <si>
    <t>Projeto D</t>
  </si>
  <si>
    <t>Vida útil (anos)</t>
  </si>
  <si>
    <t>a)</t>
  </si>
  <si>
    <t>C/B</t>
  </si>
  <si>
    <t>em t=1, VPL =</t>
  </si>
  <si>
    <t>em t=2, VPL =</t>
  </si>
  <si>
    <t>em t=3, VPL =</t>
  </si>
  <si>
    <t>em t=4, VPL =</t>
  </si>
  <si>
    <t>PayBack</t>
  </si>
  <si>
    <t>t = 4</t>
  </si>
  <si>
    <t>t = 3</t>
  </si>
  <si>
    <t>t =4</t>
  </si>
  <si>
    <t>AE</t>
  </si>
  <si>
    <t>b)</t>
  </si>
  <si>
    <t>o melhor projeto pelo critério do VPL é o Projeto C;</t>
  </si>
  <si>
    <t>o melhor projeto pelo critério da AE também é o Projeto C.</t>
  </si>
  <si>
    <t>Resposta:</t>
  </si>
  <si>
    <t>Maior VPL = $ 87.577 ==&gt; Melhor Projeto C</t>
  </si>
  <si>
    <t>Maior AE = $ 33.830 ==&gt; Melhor Projeto C</t>
  </si>
  <si>
    <t>c)</t>
  </si>
  <si>
    <t>Resposta: variando o custo de capital K de 1% a 50%, verificamos que o VPL do Projeto C é mais atrativo que</t>
  </si>
  <si>
    <t>K (custo do capital)</t>
  </si>
  <si>
    <t>VPL (A) ($)</t>
  </si>
  <si>
    <t>VPL (C) ($)</t>
  </si>
  <si>
    <t>Projeto
Escolhido</t>
  </si>
  <si>
    <t xml:space="preserve">Ao lado temos quatro projetos e seus fluxos de caixa. Os quatro projetos são excludentes </t>
  </si>
  <si>
    <t>Considerando que o custo de capital aceitável seja de 20% ao ano.</t>
  </si>
  <si>
    <t>a) Calcule os seguintes indicadores - VPL, TIR, relação custo benefício(C/B), payback(PB) e anuidade uniforme equivalente(AE)</t>
  </si>
  <si>
    <t>b) Informe qual projeto é melhor alternativa utilizando VPL e AE</t>
  </si>
  <si>
    <t>Dentre os projetos estudados, considerando que o maior VPL é $ 87.577,</t>
  </si>
  <si>
    <t>e dentre os porjetos estudados, considerando que a maior AE é $ 33.830,</t>
  </si>
  <si>
    <t>c) Analise os projetos A e C em função de um processo de custo de oportunidade de capital</t>
  </si>
  <si>
    <t>Calcule o TIR de um projeto com investimento incial de R$5.000.000 e gera um fluxo de caixa de R$1.500.000 por 5 anos</t>
  </si>
  <si>
    <t>A empresa ABC está em dúvida se deve substituir um equipammento e possui duas alternativas de projetos mutualmente excludentes : O projeto A de substituir o equipamento pelo novo equipamento e um projeto B para permanecer com equipamento velho. Seguem os seguintes fluxos de caixas. Considere um custo de capital de 12% ao ano. Pelos cálculos escolha o melhor projeto pela analise de fluxo incremental  e comparando os VPL´s dos dois projetos.</t>
  </si>
  <si>
    <r>
      <t>a</t>
    </r>
    <r>
      <rPr>
        <b/>
        <vertAlign val="subscript"/>
        <sz val="14"/>
        <color theme="0"/>
        <rFont val="Times New Roman"/>
        <family val="1"/>
      </rPr>
      <t xml:space="preserve">4 </t>
    </r>
    <r>
      <rPr>
        <b/>
        <sz val="14"/>
        <color theme="0"/>
        <rFont val="Times New Roman"/>
        <family val="1"/>
      </rPr>
      <t>┐</t>
    </r>
    <r>
      <rPr>
        <b/>
        <vertAlign val="subscript"/>
        <sz val="14"/>
        <color theme="0"/>
        <rFont val="Times New Roman"/>
        <family val="1"/>
      </rPr>
      <t>20%</t>
    </r>
  </si>
  <si>
    <t>o do Projeto A para 1% &lt; K ≤ 28%; e o Projeto A é mais atrativo que o Projeto C para K ≥ 29% (ver tabela abaixo).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</si>
</sst>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164" formatCode="_-[$R$-416]\ * #,##0.00_-;\-[$R$-416]\ * #,##0.00_-;_-[$R$-416]\ * &quot;-&quot;??_-;_-@_-"/>
    <numFmt numFmtId="165" formatCode="0.0000%"/>
    <numFmt numFmtId="166" formatCode="_-[$R$-416]\ * #,##0.0000000_-;\-[$R$-416]\ * #,##0.0000000_-;_-[$R$-416]\ * &quot;-&quot;??_-;_-@_-"/>
    <numFmt numFmtId="167" formatCode="_-[$R$-416]\ * #,##0.0000000_-;\-[$R$-416]\ * #,##0.0000000_-;_-[$R$-416]\ * &quot;-&quot;???????_-;_-@_-"/>
    <numFmt numFmtId="168" formatCode="0.0%"/>
    <numFmt numFmtId="169" formatCode="#,##0.0000"/>
    <numFmt numFmtId="170" formatCode="#,##0_ ;[Red]\-#,##0\ "/>
    <numFmt numFmtId="171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vertAlign val="subscript"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9">
    <xf numFmtId="0" fontId="0" fillId="0" borderId="0" xfId="0"/>
    <xf numFmtId="9" fontId="0" fillId="0" borderId="0" xfId="0" applyNumberFormat="1"/>
    <xf numFmtId="10" fontId="0" fillId="0" borderId="0" xfId="0" applyNumberFormat="1"/>
    <xf numFmtId="9" fontId="0" fillId="0" borderId="0" xfId="1" applyFont="1"/>
    <xf numFmtId="8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7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9" fontId="0" fillId="0" borderId="0" xfId="1" applyFont="1" applyBorder="1"/>
    <xf numFmtId="8" fontId="0" fillId="0" borderId="4" xfId="0" applyNumberFormat="1" applyBorder="1"/>
    <xf numFmtId="8" fontId="0" fillId="0" borderId="0" xfId="0" applyNumberFormat="1" applyBorder="1"/>
    <xf numFmtId="8" fontId="0" fillId="0" borderId="7" xfId="0" applyNumberFormat="1" applyBorder="1"/>
    <xf numFmtId="164" fontId="0" fillId="0" borderId="8" xfId="0" applyNumberFormat="1" applyBorder="1"/>
    <xf numFmtId="9" fontId="0" fillId="0" borderId="0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13" xfId="0" applyNumberForma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0" fontId="6" fillId="4" borderId="8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8" fontId="6" fillId="4" borderId="1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8" fontId="6" fillId="4" borderId="0" xfId="0" applyNumberFormat="1" applyFont="1" applyFill="1" applyBorder="1" applyAlignment="1">
      <alignment horizontal="center" vertical="center"/>
    </xf>
    <xf numFmtId="8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8" fontId="6" fillId="4" borderId="8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8" fontId="6" fillId="4" borderId="0" xfId="0" applyNumberFormat="1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2" fontId="6" fillId="4" borderId="0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5" xfId="0" applyFont="1" applyFill="1" applyBorder="1"/>
    <xf numFmtId="0" fontId="8" fillId="4" borderId="4" xfId="0" applyFont="1" applyFill="1" applyBorder="1"/>
    <xf numFmtId="8" fontId="6" fillId="4" borderId="5" xfId="0" applyNumberFormat="1" applyFont="1" applyFill="1" applyBorder="1"/>
    <xf numFmtId="0" fontId="6" fillId="4" borderId="5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9" fillId="2" borderId="14" xfId="0" applyFont="1" applyFill="1" applyBorder="1" applyAlignment="1">
      <alignment horizontal="left"/>
    </xf>
    <xf numFmtId="9" fontId="9" fillId="2" borderId="16" xfId="0" applyNumberFormat="1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4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10" fillId="3" borderId="3" xfId="0" applyFont="1" applyFill="1" applyBorder="1"/>
    <xf numFmtId="0" fontId="10" fillId="0" borderId="20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9" fillId="3" borderId="4" xfId="0" applyFont="1" applyFill="1" applyBorder="1"/>
    <xf numFmtId="0" fontId="9" fillId="3" borderId="0" xfId="0" applyFont="1" applyFill="1" applyBorder="1"/>
    <xf numFmtId="0" fontId="10" fillId="3" borderId="5" xfId="0" applyFont="1" applyFill="1" applyBorder="1"/>
    <xf numFmtId="0" fontId="10" fillId="0" borderId="23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10" fillId="3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3" borderId="6" xfId="0" applyFont="1" applyFill="1" applyBorder="1"/>
    <xf numFmtId="0" fontId="9" fillId="3" borderId="7" xfId="0" applyFont="1" applyFill="1" applyBorder="1"/>
    <xf numFmtId="0" fontId="10" fillId="3" borderId="8" xfId="0" applyFont="1" applyFill="1" applyBorder="1"/>
    <xf numFmtId="0" fontId="10" fillId="4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71" fontId="10" fillId="0" borderId="0" xfId="0" applyNumberFormat="1" applyFont="1" applyAlignment="1">
      <alignment horizontal="center"/>
    </xf>
    <xf numFmtId="0" fontId="10" fillId="0" borderId="29" xfId="0" applyFont="1" applyBorder="1" applyAlignment="1">
      <alignment horizontal="center"/>
    </xf>
    <xf numFmtId="170" fontId="10" fillId="0" borderId="30" xfId="0" applyNumberFormat="1" applyFont="1" applyBorder="1" applyAlignment="1">
      <alignment horizontal="center"/>
    </xf>
    <xf numFmtId="170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170" fontId="10" fillId="0" borderId="3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/>
    </xf>
    <xf numFmtId="9" fontId="10" fillId="0" borderId="23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169" fontId="13" fillId="6" borderId="27" xfId="0" applyNumberFormat="1" applyFont="1" applyFill="1" applyBorder="1" applyAlignment="1">
      <alignment horizontal="center"/>
    </xf>
    <xf numFmtId="169" fontId="13" fillId="6" borderId="28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70" fontId="13" fillId="6" borderId="2" xfId="0" applyNumberFormat="1" applyFont="1" applyFill="1" applyBorder="1" applyAlignment="1">
      <alignment horizontal="center"/>
    </xf>
    <xf numFmtId="170" fontId="13" fillId="6" borderId="3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70" fontId="13" fillId="6" borderId="0" xfId="0" applyNumberFormat="1" applyFont="1" applyFill="1" applyBorder="1" applyAlignment="1">
      <alignment horizontal="center"/>
    </xf>
    <xf numFmtId="170" fontId="13" fillId="6" borderId="5" xfId="0" applyNumberFormat="1" applyFont="1" applyFill="1" applyBorder="1" applyAlignment="1">
      <alignment horizontal="center"/>
    </xf>
    <xf numFmtId="165" fontId="13" fillId="6" borderId="0" xfId="0" applyNumberFormat="1" applyFont="1" applyFill="1" applyBorder="1" applyAlignment="1">
      <alignment horizontal="center"/>
    </xf>
    <xf numFmtId="165" fontId="13" fillId="6" borderId="5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171" fontId="13" fillId="6" borderId="7" xfId="0" applyNumberFormat="1" applyFont="1" applyFill="1" applyBorder="1" applyAlignment="1">
      <alignment horizontal="center"/>
    </xf>
    <xf numFmtId="171" fontId="13" fillId="6" borderId="8" xfId="0" applyNumberFormat="1" applyFont="1" applyFill="1" applyBorder="1" applyAlignment="1">
      <alignment horizontal="center"/>
    </xf>
    <xf numFmtId="170" fontId="14" fillId="6" borderId="34" xfId="0" applyNumberFormat="1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3" fontId="13" fillId="6" borderId="15" xfId="0" applyNumberFormat="1" applyFont="1" applyFill="1" applyBorder="1" applyAlignment="1">
      <alignment horizontal="center"/>
    </xf>
    <xf numFmtId="3" fontId="13" fillId="6" borderId="16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left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3" fillId="6" borderId="0" xfId="0" applyFont="1" applyFill="1"/>
    <xf numFmtId="0" fontId="14" fillId="6" borderId="0" xfId="0" applyFont="1" applyFill="1"/>
    <xf numFmtId="0" fontId="13" fillId="6" borderId="22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9" fontId="13" fillId="6" borderId="23" xfId="0" applyNumberFormat="1" applyFont="1" applyFill="1" applyBorder="1" applyAlignment="1">
      <alignment horizontal="center"/>
    </xf>
    <xf numFmtId="3" fontId="13" fillId="6" borderId="24" xfId="0" applyNumberFormat="1" applyFont="1" applyFill="1" applyBorder="1" applyAlignment="1">
      <alignment horizontal="center"/>
    </xf>
    <xf numFmtId="10" fontId="6" fillId="4" borderId="16" xfId="0" applyNumberFormat="1" applyFont="1" applyFill="1" applyBorder="1" applyAlignment="1">
      <alignment horizontal="center" vertical="center"/>
    </xf>
    <xf numFmtId="10" fontId="13" fillId="6" borderId="0" xfId="0" applyNumberFormat="1" applyFont="1" applyFill="1" applyBorder="1" applyAlignment="1">
      <alignment horizontal="center"/>
    </xf>
    <xf numFmtId="10" fontId="6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164" fontId="6" fillId="4" borderId="16" xfId="0" applyNumberFormat="1" applyFont="1" applyFill="1" applyBorder="1" applyAlignment="1">
      <alignment horizontal="center" vertical="center"/>
    </xf>
  </cellXfs>
  <cellStyles count="20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K13" sqref="K13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8" x14ac:dyDescent="0.25">
      <c r="A1" s="169" t="s">
        <v>50</v>
      </c>
      <c r="B1" s="170"/>
      <c r="C1" s="170"/>
      <c r="D1" s="170"/>
      <c r="E1" s="170"/>
      <c r="F1" s="170"/>
      <c r="G1" s="170"/>
      <c r="H1" s="171"/>
      <c r="J1" s="178" t="s">
        <v>2</v>
      </c>
      <c r="K1" s="179"/>
      <c r="L1" s="179"/>
      <c r="M1" s="180"/>
    </row>
    <row r="2" spans="1:18" x14ac:dyDescent="0.25">
      <c r="A2" s="172"/>
      <c r="B2" s="173"/>
      <c r="C2" s="173"/>
      <c r="D2" s="173"/>
      <c r="E2" s="173"/>
      <c r="F2" s="173"/>
      <c r="G2" s="173"/>
      <c r="H2" s="174"/>
      <c r="J2" s="7"/>
      <c r="K2" s="8"/>
      <c r="L2" s="8"/>
      <c r="M2" s="9"/>
    </row>
    <row r="3" spans="1:18" x14ac:dyDescent="0.25">
      <c r="A3" s="172"/>
      <c r="B3" s="173"/>
      <c r="C3" s="173"/>
      <c r="D3" s="173"/>
      <c r="E3" s="173"/>
      <c r="F3" s="173"/>
      <c r="G3" s="173"/>
      <c r="H3" s="174"/>
      <c r="J3" s="7" t="s">
        <v>3</v>
      </c>
      <c r="K3" s="8" t="s">
        <v>7</v>
      </c>
      <c r="L3" s="8" t="s">
        <v>8</v>
      </c>
      <c r="M3" s="9" t="s">
        <v>9</v>
      </c>
    </row>
    <row r="4" spans="1:18" x14ac:dyDescent="0.25">
      <c r="A4" s="172"/>
      <c r="B4" s="173"/>
      <c r="C4" s="173"/>
      <c r="D4" s="173"/>
      <c r="E4" s="173"/>
      <c r="F4" s="173"/>
      <c r="G4" s="173"/>
      <c r="H4" s="174"/>
      <c r="J4" s="7" t="s">
        <v>5</v>
      </c>
      <c r="K4" s="10">
        <v>-1500</v>
      </c>
      <c r="L4" s="10">
        <v>1700</v>
      </c>
      <c r="M4" s="11">
        <v>-100</v>
      </c>
      <c r="O4" s="2"/>
      <c r="P4" s="2"/>
      <c r="R4" s="3"/>
    </row>
    <row r="5" spans="1:18" x14ac:dyDescent="0.25">
      <c r="A5" s="172"/>
      <c r="B5" s="173"/>
      <c r="C5" s="173"/>
      <c r="D5" s="173"/>
      <c r="E5" s="173"/>
      <c r="F5" s="173"/>
      <c r="G5" s="173"/>
      <c r="H5" s="174"/>
      <c r="J5" s="7" t="s">
        <v>4</v>
      </c>
      <c r="K5" s="10">
        <v>-500</v>
      </c>
      <c r="L5" s="10">
        <v>-800</v>
      </c>
      <c r="M5" s="11">
        <v>2000</v>
      </c>
      <c r="O5" s="2"/>
    </row>
    <row r="6" spans="1:18" x14ac:dyDescent="0.25">
      <c r="A6" s="172"/>
      <c r="B6" s="173"/>
      <c r="C6" s="173"/>
      <c r="D6" s="173"/>
      <c r="E6" s="173"/>
      <c r="F6" s="173"/>
      <c r="G6" s="173"/>
      <c r="H6" s="174"/>
      <c r="J6" s="7" t="s">
        <v>0</v>
      </c>
      <c r="K6" s="10">
        <v>-4000</v>
      </c>
      <c r="L6" s="10">
        <v>6000</v>
      </c>
      <c r="M6" s="11">
        <v>-1000</v>
      </c>
      <c r="O6" s="2"/>
    </row>
    <row r="7" spans="1:18" x14ac:dyDescent="0.25">
      <c r="A7" s="172"/>
      <c r="B7" s="173"/>
      <c r="C7" s="173"/>
      <c r="D7" s="173"/>
      <c r="E7" s="173"/>
      <c r="F7" s="173"/>
      <c r="G7" s="173"/>
      <c r="H7" s="174"/>
      <c r="J7" s="7" t="s">
        <v>6</v>
      </c>
      <c r="K7" s="10">
        <v>-200</v>
      </c>
      <c r="L7" s="10">
        <v>700</v>
      </c>
      <c r="M7" s="11">
        <v>-600</v>
      </c>
      <c r="O7" s="2"/>
    </row>
    <row r="8" spans="1:18" ht="15.75" thickBot="1" x14ac:dyDescent="0.3">
      <c r="A8" s="172"/>
      <c r="B8" s="173"/>
      <c r="C8" s="173"/>
      <c r="D8" s="173"/>
      <c r="E8" s="173"/>
      <c r="F8" s="173"/>
      <c r="G8" s="173"/>
      <c r="H8" s="174"/>
      <c r="J8" s="7"/>
      <c r="K8" s="8"/>
      <c r="L8" s="8"/>
      <c r="M8" s="9"/>
    </row>
    <row r="9" spans="1:18" x14ac:dyDescent="0.25">
      <c r="A9" s="172"/>
      <c r="B9" s="173"/>
      <c r="C9" s="173"/>
      <c r="D9" s="173"/>
      <c r="E9" s="173"/>
      <c r="F9" s="173"/>
      <c r="G9" s="173"/>
      <c r="H9" s="174"/>
      <c r="J9" s="38" t="s">
        <v>11</v>
      </c>
      <c r="K9" s="39" t="s">
        <v>10</v>
      </c>
      <c r="L9" s="8"/>
      <c r="M9" s="9"/>
    </row>
    <row r="10" spans="1:18" x14ac:dyDescent="0.25">
      <c r="A10" s="172"/>
      <c r="B10" s="173"/>
      <c r="C10" s="173"/>
      <c r="D10" s="173"/>
      <c r="E10" s="173"/>
      <c r="F10" s="173"/>
      <c r="G10" s="173"/>
      <c r="H10" s="174"/>
      <c r="J10" s="40" t="s">
        <v>12</v>
      </c>
      <c r="K10" s="41">
        <f>IRR(K4:M4)</f>
        <v>7.109153168093596E-2</v>
      </c>
      <c r="L10" s="8"/>
      <c r="M10" s="9"/>
    </row>
    <row r="11" spans="1:18" x14ac:dyDescent="0.25">
      <c r="A11" s="172"/>
      <c r="B11" s="173"/>
      <c r="C11" s="173"/>
      <c r="D11" s="173"/>
      <c r="E11" s="173"/>
      <c r="F11" s="173"/>
      <c r="G11" s="173"/>
      <c r="H11" s="174"/>
      <c r="J11" s="40" t="s">
        <v>4</v>
      </c>
      <c r="K11" s="41">
        <f>IRR(K5:M5)</f>
        <v>0.35406592285380167</v>
      </c>
      <c r="L11" s="8"/>
      <c r="M11" s="9"/>
    </row>
    <row r="12" spans="1:18" x14ac:dyDescent="0.25">
      <c r="A12" s="172"/>
      <c r="B12" s="173"/>
      <c r="C12" s="173"/>
      <c r="D12" s="173"/>
      <c r="E12" s="173"/>
      <c r="F12" s="173"/>
      <c r="G12" s="173"/>
      <c r="H12" s="174"/>
      <c r="J12" s="40" t="s">
        <v>0</v>
      </c>
      <c r="K12" s="41">
        <f>IRR(K6:M6)</f>
        <v>0.30901699437494767</v>
      </c>
      <c r="L12" s="8"/>
      <c r="M12" s="9"/>
    </row>
    <row r="13" spans="1:18" ht="15.75" thickBot="1" x14ac:dyDescent="0.3">
      <c r="A13" s="175"/>
      <c r="B13" s="176"/>
      <c r="C13" s="176"/>
      <c r="D13" s="176"/>
      <c r="E13" s="176"/>
      <c r="F13" s="176"/>
      <c r="G13" s="176"/>
      <c r="H13" s="177"/>
      <c r="J13" s="42" t="s">
        <v>6</v>
      </c>
      <c r="K13" s="43">
        <f t="shared" ref="K13" si="0">IRR(K7:M7)</f>
        <v>0.49999999999988787</v>
      </c>
      <c r="L13" s="12"/>
      <c r="M13" s="13"/>
    </row>
  </sheetData>
  <mergeCells count="2">
    <mergeCell ref="A1:H13"/>
    <mergeCell ref="J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opLeftCell="I1" workbookViewId="0">
      <selection activeCell="K4" sqref="K4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26" ht="15.75" thickBot="1" x14ac:dyDescent="0.3"/>
    <row r="2" spans="1:26" ht="15" customHeight="1" x14ac:dyDescent="0.25">
      <c r="A2" s="181" t="s">
        <v>102</v>
      </c>
      <c r="B2" s="182"/>
      <c r="C2" s="182"/>
      <c r="D2" s="182"/>
      <c r="E2" s="182"/>
      <c r="F2" s="182"/>
      <c r="G2" s="182"/>
      <c r="H2" s="183"/>
      <c r="I2" s="31"/>
      <c r="J2" s="14"/>
      <c r="K2" s="15" t="s">
        <v>13</v>
      </c>
      <c r="L2" s="15" t="s">
        <v>8</v>
      </c>
      <c r="M2" s="15" t="s">
        <v>9</v>
      </c>
      <c r="N2" s="15" t="s">
        <v>14</v>
      </c>
      <c r="O2" s="15" t="s">
        <v>15</v>
      </c>
      <c r="P2" s="16" t="s">
        <v>16</v>
      </c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thickBot="1" x14ac:dyDescent="0.3">
      <c r="A3" s="184"/>
      <c r="B3" s="185"/>
      <c r="C3" s="185"/>
      <c r="D3" s="185"/>
      <c r="E3" s="185"/>
      <c r="F3" s="185"/>
      <c r="G3" s="185"/>
      <c r="H3" s="186"/>
      <c r="I3" s="31"/>
      <c r="J3" s="7"/>
      <c r="K3" s="10">
        <v>-5000000</v>
      </c>
      <c r="L3" s="10">
        <v>1500000</v>
      </c>
      <c r="M3" s="10">
        <v>1500000</v>
      </c>
      <c r="N3" s="10">
        <v>1500000</v>
      </c>
      <c r="O3" s="10">
        <v>1500000</v>
      </c>
      <c r="P3" s="10">
        <v>1500000</v>
      </c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thickBot="1" x14ac:dyDescent="0.3">
      <c r="A4" s="187"/>
      <c r="B4" s="188"/>
      <c r="C4" s="188"/>
      <c r="D4" s="188"/>
      <c r="E4" s="188"/>
      <c r="F4" s="188"/>
      <c r="G4" s="188"/>
      <c r="H4" s="189"/>
      <c r="I4" s="31"/>
      <c r="J4" s="44" t="s">
        <v>21</v>
      </c>
      <c r="K4" s="166">
        <f>IRR(K3:P3)</f>
        <v>0.15238237116630637</v>
      </c>
      <c r="L4" s="12"/>
      <c r="M4" s="17"/>
      <c r="N4" s="12"/>
      <c r="O4" s="12"/>
      <c r="P4" s="13"/>
      <c r="Q4" s="8"/>
      <c r="R4" s="8"/>
      <c r="S4" s="8"/>
      <c r="T4" s="8"/>
      <c r="U4" s="8"/>
      <c r="V4" s="8"/>
      <c r="W4" s="8"/>
      <c r="X4" s="8"/>
      <c r="Y4" s="8"/>
      <c r="Z4" s="8"/>
    </row>
  </sheetData>
  <mergeCells count="1">
    <mergeCell ref="A2:H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C1" workbookViewId="0">
      <selection activeCell="K7" sqref="K7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5" ht="15.75" thickBot="1" x14ac:dyDescent="0.3"/>
    <row r="2" spans="1:15" x14ac:dyDescent="0.25">
      <c r="A2" s="181" t="s">
        <v>51</v>
      </c>
      <c r="B2" s="182"/>
      <c r="C2" s="182"/>
      <c r="D2" s="182"/>
      <c r="E2" s="182"/>
      <c r="F2" s="182"/>
      <c r="G2" s="182"/>
      <c r="H2" s="183"/>
      <c r="J2" s="14" t="s">
        <v>17</v>
      </c>
      <c r="K2" s="18">
        <v>50000000</v>
      </c>
      <c r="L2" s="15"/>
      <c r="M2" s="19">
        <f>K2*K5</f>
        <v>7500000</v>
      </c>
    </row>
    <row r="3" spans="1:15" x14ac:dyDescent="0.25">
      <c r="A3" s="184"/>
      <c r="B3" s="185"/>
      <c r="C3" s="185"/>
      <c r="D3" s="185"/>
      <c r="E3" s="185"/>
      <c r="F3" s="185"/>
      <c r="G3" s="185"/>
      <c r="H3" s="186"/>
      <c r="J3" s="7" t="s">
        <v>18</v>
      </c>
      <c r="K3" s="10">
        <v>200000</v>
      </c>
      <c r="L3" s="8"/>
      <c r="M3" s="11">
        <f>K3*K5</f>
        <v>30000</v>
      </c>
      <c r="N3" s="5"/>
      <c r="O3" s="6"/>
    </row>
    <row r="4" spans="1:15" x14ac:dyDescent="0.25">
      <c r="A4" s="184"/>
      <c r="B4" s="185"/>
      <c r="C4" s="185"/>
      <c r="D4" s="185"/>
      <c r="E4" s="185"/>
      <c r="F4" s="185"/>
      <c r="G4" s="185"/>
      <c r="H4" s="186"/>
      <c r="J4" s="7" t="s">
        <v>19</v>
      </c>
      <c r="K4" s="8">
        <f>15*12</f>
        <v>180</v>
      </c>
      <c r="L4" s="8"/>
      <c r="M4" s="11">
        <f>M2+K3</f>
        <v>7700000</v>
      </c>
    </row>
    <row r="5" spans="1:15" x14ac:dyDescent="0.25">
      <c r="A5" s="184"/>
      <c r="B5" s="185"/>
      <c r="C5" s="185"/>
      <c r="D5" s="185"/>
      <c r="E5" s="185"/>
      <c r="F5" s="185"/>
      <c r="G5" s="185"/>
      <c r="H5" s="186"/>
      <c r="J5" s="7" t="s">
        <v>20</v>
      </c>
      <c r="K5" s="20">
        <v>0.15</v>
      </c>
      <c r="L5" s="8"/>
      <c r="M5" s="11"/>
    </row>
    <row r="6" spans="1:15" ht="15.75" thickBot="1" x14ac:dyDescent="0.3">
      <c r="A6" s="184"/>
      <c r="B6" s="185"/>
      <c r="C6" s="185"/>
      <c r="D6" s="185"/>
      <c r="E6" s="185"/>
      <c r="F6" s="185"/>
      <c r="G6" s="185"/>
      <c r="H6" s="186"/>
      <c r="J6" s="21"/>
      <c r="K6" s="22"/>
      <c r="L6" s="8"/>
      <c r="M6" s="11"/>
    </row>
    <row r="7" spans="1:15" ht="15.75" thickBot="1" x14ac:dyDescent="0.3">
      <c r="A7" s="187"/>
      <c r="B7" s="188"/>
      <c r="C7" s="188"/>
      <c r="D7" s="188"/>
      <c r="E7" s="188"/>
      <c r="F7" s="188"/>
      <c r="G7" s="188"/>
      <c r="H7" s="189"/>
      <c r="J7" s="45" t="s">
        <v>11</v>
      </c>
      <c r="K7" s="198">
        <f>M4</f>
        <v>7700000</v>
      </c>
      <c r="L7" s="23" t="s">
        <v>1</v>
      </c>
      <c r="M7" s="24" t="s">
        <v>1</v>
      </c>
    </row>
    <row r="8" spans="1:15" x14ac:dyDescent="0.25">
      <c r="J8" s="4"/>
      <c r="K8" s="4"/>
    </row>
  </sheetData>
  <mergeCells count="1">
    <mergeCell ref="A2:H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B1" workbookViewId="0">
      <selection activeCell="K11" sqref="K11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3" ht="15.75" thickBot="1" x14ac:dyDescent="0.3">
      <c r="J1" t="s">
        <v>1</v>
      </c>
      <c r="K1" s="1" t="s">
        <v>1</v>
      </c>
    </row>
    <row r="2" spans="1:13" x14ac:dyDescent="0.25">
      <c r="A2" s="181" t="s">
        <v>53</v>
      </c>
      <c r="B2" s="182"/>
      <c r="C2" s="182"/>
      <c r="D2" s="182"/>
      <c r="E2" s="182"/>
      <c r="F2" s="182"/>
      <c r="G2" s="182"/>
      <c r="H2" s="183"/>
      <c r="J2" s="14" t="s">
        <v>3</v>
      </c>
      <c r="K2" s="15" t="s">
        <v>7</v>
      </c>
      <c r="L2" s="15" t="s">
        <v>8</v>
      </c>
      <c r="M2" s="16" t="s">
        <v>9</v>
      </c>
    </row>
    <row r="3" spans="1:13" x14ac:dyDescent="0.25">
      <c r="A3" s="184"/>
      <c r="B3" s="185"/>
      <c r="C3" s="185"/>
      <c r="D3" s="185"/>
      <c r="E3" s="185"/>
      <c r="F3" s="185"/>
      <c r="G3" s="185"/>
      <c r="H3" s="186"/>
      <c r="J3" s="7" t="s">
        <v>48</v>
      </c>
      <c r="K3" s="10">
        <v>-1000</v>
      </c>
      <c r="L3" s="10">
        <v>250</v>
      </c>
      <c r="M3" s="11">
        <v>1250</v>
      </c>
    </row>
    <row r="4" spans="1:13" x14ac:dyDescent="0.25">
      <c r="A4" s="184"/>
      <c r="B4" s="185"/>
      <c r="C4" s="185"/>
      <c r="D4" s="185"/>
      <c r="E4" s="185"/>
      <c r="F4" s="185"/>
      <c r="G4" s="185"/>
      <c r="H4" s="186"/>
      <c r="J4" s="7" t="s">
        <v>49</v>
      </c>
      <c r="K4" s="10">
        <v>-1000</v>
      </c>
      <c r="L4" s="10">
        <v>950</v>
      </c>
      <c r="M4" s="11">
        <v>450</v>
      </c>
    </row>
    <row r="5" spans="1:13" ht="15.75" thickBot="1" x14ac:dyDescent="0.3">
      <c r="A5" s="184"/>
      <c r="B5" s="185"/>
      <c r="C5" s="185"/>
      <c r="D5" s="185"/>
      <c r="E5" s="185"/>
      <c r="F5" s="185"/>
      <c r="G5" s="185"/>
      <c r="H5" s="186"/>
      <c r="J5" s="7"/>
      <c r="K5" s="8"/>
      <c r="L5" s="8"/>
      <c r="M5" s="9"/>
    </row>
    <row r="6" spans="1:13" x14ac:dyDescent="0.25">
      <c r="A6" s="184"/>
      <c r="B6" s="185"/>
      <c r="C6" s="185"/>
      <c r="D6" s="185"/>
      <c r="E6" s="185"/>
      <c r="F6" s="185"/>
      <c r="G6" s="185"/>
      <c r="H6" s="186"/>
      <c r="J6" s="46" t="s">
        <v>11</v>
      </c>
      <c r="K6" s="47"/>
      <c r="L6" s="48"/>
      <c r="M6" s="9"/>
    </row>
    <row r="7" spans="1:13" x14ac:dyDescent="0.25">
      <c r="A7" s="184"/>
      <c r="B7" s="185"/>
      <c r="C7" s="185"/>
      <c r="D7" s="185"/>
      <c r="E7" s="185"/>
      <c r="F7" s="185"/>
      <c r="G7" s="185"/>
      <c r="H7" s="186"/>
      <c r="J7" s="49" t="s">
        <v>22</v>
      </c>
      <c r="K7" s="50">
        <f>IRR(K3:M3)</f>
        <v>0.24999999999999978</v>
      </c>
      <c r="L7" s="51"/>
      <c r="M7" s="9"/>
    </row>
    <row r="8" spans="1:13" x14ac:dyDescent="0.25">
      <c r="A8" s="184"/>
      <c r="B8" s="185"/>
      <c r="C8" s="185"/>
      <c r="D8" s="185"/>
      <c r="E8" s="185"/>
      <c r="F8" s="185"/>
      <c r="G8" s="185"/>
      <c r="H8" s="186"/>
      <c r="J8" s="49" t="s">
        <v>23</v>
      </c>
      <c r="K8" s="168">
        <f>IRR(K3:M3-K4:M4)</f>
        <v>0.14285714285714302</v>
      </c>
      <c r="L8" s="51"/>
      <c r="M8" s="9"/>
    </row>
    <row r="9" spans="1:13" x14ac:dyDescent="0.25">
      <c r="A9" s="184"/>
      <c r="B9" s="185"/>
      <c r="C9" s="185"/>
      <c r="D9" s="185"/>
      <c r="E9" s="185"/>
      <c r="F9" s="185"/>
      <c r="G9" s="185"/>
      <c r="H9" s="186"/>
      <c r="J9" s="49" t="s">
        <v>24</v>
      </c>
      <c r="K9" s="52">
        <f>NPV(12%,L3:M3)+K3</f>
        <v>219.70663265306098</v>
      </c>
      <c r="L9" s="53">
        <f>NPV(12%,L4:M4)+K4</f>
        <v>206.95153061224482</v>
      </c>
      <c r="M9" s="9"/>
    </row>
    <row r="10" spans="1:13" x14ac:dyDescent="0.25">
      <c r="A10" s="184"/>
      <c r="B10" s="185"/>
      <c r="C10" s="185"/>
      <c r="D10" s="185"/>
      <c r="E10" s="185"/>
      <c r="F10" s="185"/>
      <c r="G10" s="185"/>
      <c r="H10" s="186"/>
      <c r="J10" s="49" t="s">
        <v>25</v>
      </c>
      <c r="K10" s="52">
        <f>K9-L9</f>
        <v>12.755102040816155</v>
      </c>
      <c r="L10" s="51"/>
      <c r="M10" s="9"/>
    </row>
    <row r="11" spans="1:13" ht="15.75" thickBot="1" x14ac:dyDescent="0.3">
      <c r="A11" s="187"/>
      <c r="B11" s="188"/>
      <c r="C11" s="188"/>
      <c r="D11" s="188"/>
      <c r="E11" s="188"/>
      <c r="F11" s="188"/>
      <c r="G11" s="188"/>
      <c r="H11" s="189"/>
      <c r="J11" s="54" t="s">
        <v>26</v>
      </c>
      <c r="K11" s="55" t="s">
        <v>52</v>
      </c>
      <c r="L11" s="56"/>
      <c r="M11" s="13"/>
    </row>
  </sheetData>
  <mergeCells count="1">
    <mergeCell ref="A2:H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B1" workbookViewId="0">
      <selection activeCell="K7" sqref="K7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3" ht="15.75" thickBot="1" x14ac:dyDescent="0.3"/>
    <row r="2" spans="1:13" ht="15" customHeight="1" x14ac:dyDescent="0.25">
      <c r="A2" s="181" t="s">
        <v>54</v>
      </c>
      <c r="B2" s="182"/>
      <c r="C2" s="182"/>
      <c r="D2" s="182"/>
      <c r="E2" s="182"/>
      <c r="F2" s="182"/>
      <c r="G2" s="182"/>
      <c r="H2" s="183"/>
      <c r="J2" s="14" t="s">
        <v>3</v>
      </c>
      <c r="K2" s="15" t="s">
        <v>7</v>
      </c>
      <c r="L2" s="15" t="s">
        <v>8</v>
      </c>
      <c r="M2" s="16" t="s">
        <v>9</v>
      </c>
    </row>
    <row r="3" spans="1:13" x14ac:dyDescent="0.25">
      <c r="A3" s="184"/>
      <c r="B3" s="185"/>
      <c r="C3" s="185"/>
      <c r="D3" s="185"/>
      <c r="E3" s="185"/>
      <c r="F3" s="185"/>
      <c r="G3" s="185"/>
      <c r="H3" s="186"/>
      <c r="J3" s="7" t="s">
        <v>5</v>
      </c>
      <c r="K3" s="10">
        <v>-1000</v>
      </c>
      <c r="L3" s="10">
        <v>1200</v>
      </c>
      <c r="M3" s="11">
        <v>300</v>
      </c>
    </row>
    <row r="4" spans="1:13" x14ac:dyDescent="0.25">
      <c r="A4" s="184"/>
      <c r="B4" s="185"/>
      <c r="C4" s="185"/>
      <c r="D4" s="185"/>
      <c r="E4" s="185"/>
      <c r="F4" s="185"/>
      <c r="G4" s="185"/>
      <c r="H4" s="186"/>
      <c r="J4" s="7" t="s">
        <v>4</v>
      </c>
      <c r="K4" s="10">
        <v>-1000</v>
      </c>
      <c r="L4" s="10">
        <v>400</v>
      </c>
      <c r="M4" s="11">
        <v>1400</v>
      </c>
    </row>
    <row r="5" spans="1:13" ht="15.75" thickBot="1" x14ac:dyDescent="0.3">
      <c r="A5" s="184"/>
      <c r="B5" s="185"/>
      <c r="C5" s="185"/>
      <c r="D5" s="185"/>
      <c r="E5" s="185"/>
      <c r="F5" s="185"/>
      <c r="G5" s="185"/>
      <c r="H5" s="186"/>
      <c r="J5" s="7"/>
      <c r="K5" s="8"/>
      <c r="L5" s="8"/>
      <c r="M5" s="9"/>
    </row>
    <row r="6" spans="1:13" x14ac:dyDescent="0.25">
      <c r="A6" s="184"/>
      <c r="B6" s="185"/>
      <c r="C6" s="185"/>
      <c r="D6" s="185"/>
      <c r="E6" s="185"/>
      <c r="F6" s="185"/>
      <c r="G6" s="185"/>
      <c r="H6" s="186"/>
      <c r="J6" s="46" t="s">
        <v>11</v>
      </c>
      <c r="K6" s="48"/>
      <c r="L6" s="25"/>
      <c r="M6" s="9"/>
    </row>
    <row r="7" spans="1:13" ht="15.75" thickBot="1" x14ac:dyDescent="0.3">
      <c r="A7" s="187"/>
      <c r="B7" s="188"/>
      <c r="C7" s="188"/>
      <c r="D7" s="188"/>
      <c r="E7" s="188"/>
      <c r="F7" s="188"/>
      <c r="G7" s="188"/>
      <c r="H7" s="189"/>
      <c r="J7" s="54" t="s">
        <v>27</v>
      </c>
      <c r="K7" s="57">
        <f>IRR(K3:M3 -K4:M4)</f>
        <v>0.375</v>
      </c>
      <c r="L7" s="12"/>
      <c r="M7" s="13"/>
    </row>
  </sheetData>
  <mergeCells count="1">
    <mergeCell ref="A2:H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D1" workbookViewId="0">
      <selection activeCell="L7" sqref="L7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4" ht="15.75" thickBot="1" x14ac:dyDescent="0.3"/>
    <row r="2" spans="1:14" x14ac:dyDescent="0.25">
      <c r="A2" s="181" t="s">
        <v>103</v>
      </c>
      <c r="B2" s="182"/>
      <c r="C2" s="182"/>
      <c r="D2" s="182"/>
      <c r="E2" s="182"/>
      <c r="F2" s="182"/>
      <c r="G2" s="182"/>
      <c r="H2" s="183"/>
      <c r="J2" s="14" t="s">
        <v>3</v>
      </c>
      <c r="K2" s="15" t="s">
        <v>7</v>
      </c>
      <c r="L2" s="15" t="s">
        <v>8</v>
      </c>
      <c r="M2" s="15" t="s">
        <v>9</v>
      </c>
      <c r="N2" s="16"/>
    </row>
    <row r="3" spans="1:14" x14ac:dyDescent="0.25">
      <c r="A3" s="184"/>
      <c r="B3" s="185"/>
      <c r="C3" s="185"/>
      <c r="D3" s="185"/>
      <c r="E3" s="185"/>
      <c r="F3" s="185"/>
      <c r="G3" s="185"/>
      <c r="H3" s="186"/>
      <c r="J3" s="7" t="s">
        <v>55</v>
      </c>
      <c r="K3" s="10">
        <v>-1000</v>
      </c>
      <c r="L3" s="10">
        <v>10000</v>
      </c>
      <c r="M3" s="10">
        <v>2000</v>
      </c>
      <c r="N3" s="9"/>
    </row>
    <row r="4" spans="1:14" x14ac:dyDescent="0.25">
      <c r="A4" s="184"/>
      <c r="B4" s="185"/>
      <c r="C4" s="185"/>
      <c r="D4" s="185"/>
      <c r="E4" s="185"/>
      <c r="F4" s="185"/>
      <c r="G4" s="185"/>
      <c r="H4" s="186"/>
      <c r="J4" s="7" t="s">
        <v>56</v>
      </c>
      <c r="K4" s="10">
        <v>-900</v>
      </c>
      <c r="L4" s="10">
        <v>3000</v>
      </c>
      <c r="M4" s="10">
        <v>14000</v>
      </c>
      <c r="N4" s="9"/>
    </row>
    <row r="5" spans="1:14" ht="15.75" thickBot="1" x14ac:dyDescent="0.3">
      <c r="A5" s="184"/>
      <c r="B5" s="185"/>
      <c r="C5" s="185"/>
      <c r="D5" s="185"/>
      <c r="E5" s="185"/>
      <c r="F5" s="185"/>
      <c r="G5" s="185"/>
      <c r="H5" s="186"/>
      <c r="J5" s="7"/>
      <c r="K5" s="8"/>
      <c r="L5" s="8"/>
      <c r="M5" s="8"/>
      <c r="N5" s="9"/>
    </row>
    <row r="6" spans="1:14" x14ac:dyDescent="0.25">
      <c r="A6" s="184"/>
      <c r="B6" s="185"/>
      <c r="C6" s="185"/>
      <c r="D6" s="185"/>
      <c r="E6" s="185"/>
      <c r="F6" s="185"/>
      <c r="G6" s="185"/>
      <c r="H6" s="186"/>
      <c r="J6" s="58" t="s">
        <v>11</v>
      </c>
      <c r="K6" s="59"/>
      <c r="L6" s="59"/>
      <c r="M6" s="59"/>
      <c r="N6" s="60"/>
    </row>
    <row r="7" spans="1:14" ht="45" x14ac:dyDescent="0.25">
      <c r="A7" s="184"/>
      <c r="B7" s="185"/>
      <c r="C7" s="185"/>
      <c r="D7" s="185"/>
      <c r="E7" s="185"/>
      <c r="F7" s="185"/>
      <c r="G7" s="185"/>
      <c r="H7" s="186"/>
      <c r="J7" s="61" t="s">
        <v>28</v>
      </c>
      <c r="K7" s="62">
        <f>NPV(12%,L3:M3)+K3</f>
        <v>9522.9591836734689</v>
      </c>
      <c r="L7" s="62">
        <f>NPV(12%,L4:M4)+K4</f>
        <v>12939.285714285712</v>
      </c>
      <c r="M7" s="62">
        <f>K7-L7</f>
        <v>-3416.326530612243</v>
      </c>
      <c r="N7" s="77" t="s">
        <v>57</v>
      </c>
    </row>
    <row r="8" spans="1:14" ht="15.75" thickBot="1" x14ac:dyDescent="0.3">
      <c r="A8" s="187"/>
      <c r="B8" s="188"/>
      <c r="C8" s="188"/>
      <c r="D8" s="188"/>
      <c r="E8" s="188"/>
      <c r="F8" s="188"/>
      <c r="G8" s="188"/>
      <c r="H8" s="189"/>
      <c r="J8" s="63" t="s">
        <v>29</v>
      </c>
      <c r="K8" s="64"/>
      <c r="L8" s="64"/>
      <c r="M8" s="64"/>
      <c r="N8" s="78"/>
    </row>
  </sheetData>
  <mergeCells count="1">
    <mergeCell ref="A2:H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11" sqref="L11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2" ht="15.75" thickBot="1" x14ac:dyDescent="0.3"/>
    <row r="2" spans="1:12" ht="30.75" thickBot="1" x14ac:dyDescent="0.3">
      <c r="J2" s="32"/>
      <c r="K2" s="33" t="s">
        <v>58</v>
      </c>
      <c r="L2" s="34" t="s">
        <v>59</v>
      </c>
    </row>
    <row r="3" spans="1:12" x14ac:dyDescent="0.25">
      <c r="A3" s="181" t="s">
        <v>63</v>
      </c>
      <c r="B3" s="182"/>
      <c r="C3" s="182"/>
      <c r="D3" s="182"/>
      <c r="E3" s="182"/>
      <c r="F3" s="182"/>
      <c r="G3" s="182"/>
      <c r="H3" s="183"/>
      <c r="J3" s="7" t="s">
        <v>30</v>
      </c>
      <c r="K3" s="8"/>
      <c r="L3" s="11">
        <v>25000</v>
      </c>
    </row>
    <row r="4" spans="1:12" x14ac:dyDescent="0.25">
      <c r="A4" s="184"/>
      <c r="B4" s="185"/>
      <c r="C4" s="185"/>
      <c r="D4" s="185"/>
      <c r="E4" s="185"/>
      <c r="F4" s="185"/>
      <c r="G4" s="185"/>
      <c r="H4" s="186"/>
      <c r="J4" s="7" t="s">
        <v>31</v>
      </c>
      <c r="K4" s="10" t="s">
        <v>60</v>
      </c>
      <c r="L4" s="11" t="s">
        <v>61</v>
      </c>
    </row>
    <row r="5" spans="1:12" x14ac:dyDescent="0.25">
      <c r="A5" s="184"/>
      <c r="B5" s="185"/>
      <c r="C5" s="185"/>
      <c r="D5" s="185"/>
      <c r="E5" s="185"/>
      <c r="F5" s="185"/>
      <c r="G5" s="185"/>
      <c r="H5" s="186"/>
      <c r="J5" s="7" t="s">
        <v>32</v>
      </c>
      <c r="K5" s="8" t="s">
        <v>34</v>
      </c>
      <c r="L5" s="9" t="s">
        <v>35</v>
      </c>
    </row>
    <row r="6" spans="1:12" x14ac:dyDescent="0.25">
      <c r="A6" s="184"/>
      <c r="B6" s="185"/>
      <c r="C6" s="185"/>
      <c r="D6" s="185"/>
      <c r="E6" s="185"/>
      <c r="F6" s="185"/>
      <c r="G6" s="185"/>
      <c r="H6" s="186"/>
      <c r="J6" s="7" t="s">
        <v>33</v>
      </c>
      <c r="K6" s="8" t="s">
        <v>36</v>
      </c>
      <c r="L6" s="9" t="s">
        <v>37</v>
      </c>
    </row>
    <row r="7" spans="1:12" ht="15.75" thickBot="1" x14ac:dyDescent="0.3">
      <c r="A7" s="184"/>
      <c r="B7" s="185"/>
      <c r="C7" s="185"/>
      <c r="D7" s="185"/>
      <c r="E7" s="185"/>
      <c r="F7" s="185"/>
      <c r="G7" s="185"/>
      <c r="H7" s="186"/>
      <c r="J7" s="7"/>
      <c r="K7" s="8"/>
      <c r="L7" s="9"/>
    </row>
    <row r="8" spans="1:12" x14ac:dyDescent="0.25">
      <c r="A8" s="184"/>
      <c r="B8" s="185"/>
      <c r="C8" s="185"/>
      <c r="D8" s="185"/>
      <c r="E8" s="185"/>
      <c r="F8" s="185"/>
      <c r="G8" s="185"/>
      <c r="H8" s="186"/>
      <c r="J8" s="46" t="s">
        <v>11</v>
      </c>
      <c r="K8" s="47"/>
      <c r="L8" s="48"/>
    </row>
    <row r="9" spans="1:12" x14ac:dyDescent="0.25">
      <c r="A9" s="184"/>
      <c r="B9" s="185"/>
      <c r="C9" s="185"/>
      <c r="D9" s="185"/>
      <c r="E9" s="185"/>
      <c r="F9" s="185"/>
      <c r="G9" s="185"/>
      <c r="H9" s="186"/>
      <c r="J9" s="49" t="s">
        <v>39</v>
      </c>
      <c r="K9" s="65">
        <f>0/(((1.06)^2-1)/((1.06)^2*0.06))</f>
        <v>0</v>
      </c>
      <c r="L9" s="66">
        <f>25000/(((1.06)^6-1)/((1.06)^6*0.06))</f>
        <v>5084.0657118723821</v>
      </c>
    </row>
    <row r="10" spans="1:12" x14ac:dyDescent="0.25">
      <c r="A10" s="184"/>
      <c r="B10" s="185"/>
      <c r="C10" s="185"/>
      <c r="D10" s="185"/>
      <c r="E10" s="185"/>
      <c r="F10" s="185"/>
      <c r="G10" s="185"/>
      <c r="H10" s="186"/>
      <c r="J10" s="49" t="s">
        <v>40</v>
      </c>
      <c r="K10" s="67">
        <v>12000</v>
      </c>
      <c r="L10" s="53">
        <v>80000</v>
      </c>
    </row>
    <row r="11" spans="1:12" x14ac:dyDescent="0.25">
      <c r="A11" s="184"/>
      <c r="B11" s="185"/>
      <c r="C11" s="185"/>
      <c r="D11" s="185"/>
      <c r="E11" s="185"/>
      <c r="F11" s="185"/>
      <c r="G11" s="185"/>
      <c r="H11" s="186"/>
      <c r="J11" s="68" t="s">
        <v>41</v>
      </c>
      <c r="K11" s="69">
        <f>K10+K9</f>
        <v>12000</v>
      </c>
      <c r="L11" s="70">
        <f>L10+L9</f>
        <v>85084.065711872376</v>
      </c>
    </row>
    <row r="12" spans="1:12" ht="15.75" thickBot="1" x14ac:dyDescent="0.3">
      <c r="A12" s="187"/>
      <c r="B12" s="188"/>
      <c r="C12" s="188"/>
      <c r="D12" s="188"/>
      <c r="E12" s="188"/>
      <c r="F12" s="188"/>
      <c r="G12" s="188"/>
      <c r="H12" s="189"/>
      <c r="J12" s="54" t="s">
        <v>62</v>
      </c>
      <c r="K12" s="71"/>
      <c r="L12" s="72"/>
    </row>
  </sheetData>
  <mergeCells count="1">
    <mergeCell ref="A3:H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9" sqref="L9"/>
    </sheetView>
  </sheetViews>
  <sheetFormatPr defaultColWidth="8.85546875" defaultRowHeight="15" x14ac:dyDescent="0.25"/>
  <cols>
    <col min="9" max="9" width="6.85546875" customWidth="1"/>
    <col min="10" max="10" width="47.7109375" customWidth="1"/>
    <col min="11" max="11" width="33.140625" bestFit="1" customWidth="1"/>
    <col min="12" max="12" width="16.42578125" customWidth="1"/>
    <col min="13" max="13" width="18" bestFit="1" customWidth="1"/>
    <col min="14" max="14" width="21" bestFit="1" customWidth="1"/>
    <col min="15" max="16" width="15.85546875" bestFit="1" customWidth="1"/>
    <col min="17" max="31" width="14.28515625" bestFit="1" customWidth="1"/>
  </cols>
  <sheetData>
    <row r="1" spans="1:12" ht="15.75" thickBot="1" x14ac:dyDescent="0.3"/>
    <row r="2" spans="1:12" ht="15.75" thickTop="1" x14ac:dyDescent="0.25">
      <c r="A2" s="181" t="s">
        <v>65</v>
      </c>
      <c r="B2" s="182"/>
      <c r="C2" s="182"/>
      <c r="D2" s="182"/>
      <c r="E2" s="182"/>
      <c r="F2" s="182"/>
      <c r="G2" s="182"/>
      <c r="H2" s="183"/>
      <c r="J2" s="26"/>
      <c r="K2" s="29" t="s">
        <v>46</v>
      </c>
      <c r="L2" s="30" t="s">
        <v>47</v>
      </c>
    </row>
    <row r="3" spans="1:12" x14ac:dyDescent="0.25">
      <c r="A3" s="184"/>
      <c r="B3" s="185"/>
      <c r="C3" s="185"/>
      <c r="D3" s="185"/>
      <c r="E3" s="185"/>
      <c r="F3" s="185"/>
      <c r="G3" s="185"/>
      <c r="H3" s="186"/>
      <c r="J3" s="27" t="s">
        <v>43</v>
      </c>
      <c r="K3" s="8">
        <v>180000</v>
      </c>
      <c r="L3" s="28">
        <v>280000</v>
      </c>
    </row>
    <row r="4" spans="1:12" x14ac:dyDescent="0.25">
      <c r="A4" s="184"/>
      <c r="B4" s="185"/>
      <c r="C4" s="185"/>
      <c r="D4" s="185"/>
      <c r="E4" s="185"/>
      <c r="F4" s="185"/>
      <c r="G4" s="185"/>
      <c r="H4" s="186"/>
      <c r="J4" s="27" t="s">
        <v>44</v>
      </c>
      <c r="K4" s="8">
        <v>28600</v>
      </c>
      <c r="L4" s="28">
        <v>19600</v>
      </c>
    </row>
    <row r="5" spans="1:12" x14ac:dyDescent="0.25">
      <c r="A5" s="184"/>
      <c r="B5" s="185"/>
      <c r="C5" s="185"/>
      <c r="D5" s="185"/>
      <c r="E5" s="185"/>
      <c r="F5" s="185"/>
      <c r="G5" s="185"/>
      <c r="H5" s="186"/>
      <c r="J5" s="27" t="s">
        <v>45</v>
      </c>
      <c r="K5" s="8">
        <v>13</v>
      </c>
      <c r="L5" s="28">
        <v>18</v>
      </c>
    </row>
    <row r="6" spans="1:12" ht="15.75" thickBot="1" x14ac:dyDescent="0.3">
      <c r="A6" s="184"/>
      <c r="B6" s="185"/>
      <c r="C6" s="185"/>
      <c r="D6" s="185"/>
      <c r="E6" s="185"/>
      <c r="F6" s="185"/>
      <c r="G6" s="185"/>
      <c r="H6" s="186"/>
      <c r="J6" s="27" t="s">
        <v>64</v>
      </c>
      <c r="K6" s="25">
        <v>0.1</v>
      </c>
      <c r="L6" s="35">
        <v>0.1</v>
      </c>
    </row>
    <row r="7" spans="1:12" x14ac:dyDescent="0.25">
      <c r="A7" s="184"/>
      <c r="B7" s="185"/>
      <c r="C7" s="185"/>
      <c r="D7" s="185"/>
      <c r="E7" s="185"/>
      <c r="F7" s="185"/>
      <c r="G7" s="185"/>
      <c r="H7" s="186"/>
      <c r="J7" s="58" t="s">
        <v>11</v>
      </c>
      <c r="K7" s="59"/>
      <c r="L7" s="60"/>
    </row>
    <row r="8" spans="1:12" x14ac:dyDescent="0.25">
      <c r="A8" s="184"/>
      <c r="B8" s="185"/>
      <c r="C8" s="185"/>
      <c r="D8" s="185"/>
      <c r="E8" s="185"/>
      <c r="F8" s="185"/>
      <c r="G8" s="185"/>
      <c r="H8" s="186"/>
      <c r="J8" s="61" t="s">
        <v>42</v>
      </c>
      <c r="K8" s="73">
        <f>(1.1^13-1)/(1.1^13*0.1)</f>
        <v>7.1033562026331216</v>
      </c>
      <c r="L8" s="74">
        <f>(1.1^18-1)/((1.1^18)*0.1)</f>
        <v>8.2014121009078629</v>
      </c>
    </row>
    <row r="9" spans="1:12" x14ac:dyDescent="0.25">
      <c r="A9" s="184"/>
      <c r="B9" s="185"/>
      <c r="C9" s="185"/>
      <c r="D9" s="185"/>
      <c r="E9" s="185"/>
      <c r="F9" s="185"/>
      <c r="G9" s="185"/>
      <c r="H9" s="186"/>
      <c r="J9" s="75" t="s">
        <v>41</v>
      </c>
      <c r="K9" s="62">
        <f>(K3/K8)+K4</f>
        <v>53940.13427811439</v>
      </c>
      <c r="L9" s="76">
        <f>L3/L8+L4</f>
        <v>53740.462222231843</v>
      </c>
    </row>
    <row r="10" spans="1:12" x14ac:dyDescent="0.25">
      <c r="A10" s="184"/>
      <c r="B10" s="185"/>
      <c r="C10" s="185"/>
      <c r="D10" s="185"/>
      <c r="E10" s="185"/>
      <c r="F10" s="185"/>
      <c r="G10" s="185"/>
      <c r="H10" s="186"/>
      <c r="J10" s="190" t="s">
        <v>66</v>
      </c>
      <c r="K10" s="191"/>
      <c r="L10" s="192"/>
    </row>
    <row r="11" spans="1:12" x14ac:dyDescent="0.25">
      <c r="A11" s="184"/>
      <c r="B11" s="185"/>
      <c r="C11" s="185"/>
      <c r="D11" s="185"/>
      <c r="E11" s="185"/>
      <c r="F11" s="185"/>
      <c r="G11" s="185"/>
      <c r="H11" s="186"/>
      <c r="J11" s="190"/>
      <c r="K11" s="191"/>
      <c r="L11" s="192"/>
    </row>
    <row r="12" spans="1:12" ht="15.75" thickBot="1" x14ac:dyDescent="0.3">
      <c r="A12" s="187"/>
      <c r="B12" s="188"/>
      <c r="C12" s="188"/>
      <c r="D12" s="188"/>
      <c r="E12" s="188"/>
      <c r="F12" s="188"/>
      <c r="G12" s="188"/>
      <c r="H12" s="189"/>
      <c r="J12" s="193"/>
      <c r="K12" s="194"/>
      <c r="L12" s="195"/>
    </row>
  </sheetData>
  <mergeCells count="2">
    <mergeCell ref="A2:H12"/>
    <mergeCell ref="J10:L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D36" sqref="D36"/>
    </sheetView>
  </sheetViews>
  <sheetFormatPr defaultRowHeight="15.75" x14ac:dyDescent="0.25"/>
  <cols>
    <col min="1" max="1" width="23.7109375" style="36" customWidth="1"/>
    <col min="2" max="2" width="12.7109375" style="36" bestFit="1" customWidth="1"/>
    <col min="3" max="5" width="12.42578125" style="36" bestFit="1" customWidth="1"/>
    <col min="6" max="16384" width="9.140625" style="37"/>
  </cols>
  <sheetData>
    <row r="1" spans="1:16" ht="16.5" thickBot="1" x14ac:dyDescent="0.3"/>
    <row r="2" spans="1:16" ht="16.5" thickBot="1" x14ac:dyDescent="0.3">
      <c r="A2" s="79" t="s">
        <v>67</v>
      </c>
      <c r="B2" s="80">
        <v>0.2</v>
      </c>
      <c r="C2" s="81"/>
      <c r="D2" s="82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6.5" thickBot="1" x14ac:dyDescent="0.3">
      <c r="A3" s="82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 thickBot="1" x14ac:dyDescent="0.3">
      <c r="A4" s="84" t="s">
        <v>68</v>
      </c>
      <c r="B4" s="85" t="s">
        <v>48</v>
      </c>
      <c r="C4" s="86" t="s">
        <v>49</v>
      </c>
      <c r="D4" s="86" t="s">
        <v>69</v>
      </c>
      <c r="E4" s="87" t="s">
        <v>70</v>
      </c>
      <c r="F4" s="83"/>
      <c r="G4" s="88" t="s">
        <v>95</v>
      </c>
      <c r="H4" s="89"/>
      <c r="I4" s="89"/>
      <c r="J4" s="89"/>
      <c r="K4" s="89"/>
      <c r="L4" s="89"/>
      <c r="M4" s="89"/>
      <c r="N4" s="89"/>
      <c r="O4" s="89"/>
      <c r="P4" s="90"/>
    </row>
    <row r="5" spans="1:16" x14ac:dyDescent="0.25">
      <c r="A5" s="91">
        <v>0</v>
      </c>
      <c r="B5" s="92">
        <f>-85000</f>
        <v>-85000</v>
      </c>
      <c r="C5" s="92">
        <f>-150000</f>
        <v>-150000</v>
      </c>
      <c r="D5" s="92">
        <f>-250000</f>
        <v>-250000</v>
      </c>
      <c r="E5" s="93">
        <f>-378000</f>
        <v>-378000</v>
      </c>
      <c r="F5" s="83"/>
      <c r="G5" s="94" t="s">
        <v>96</v>
      </c>
      <c r="H5" s="95"/>
      <c r="I5" s="95"/>
      <c r="J5" s="95"/>
      <c r="K5" s="95"/>
      <c r="L5" s="95"/>
      <c r="M5" s="95"/>
      <c r="N5" s="95"/>
      <c r="O5" s="95"/>
      <c r="P5" s="96"/>
    </row>
    <row r="6" spans="1:16" x14ac:dyDescent="0.25">
      <c r="A6" s="97">
        <v>1</v>
      </c>
      <c r="B6" s="98">
        <v>40000</v>
      </c>
      <c r="C6" s="98">
        <v>78000</v>
      </c>
      <c r="D6" s="98">
        <v>0</v>
      </c>
      <c r="E6" s="99">
        <v>390000</v>
      </c>
      <c r="F6" s="83"/>
      <c r="G6" s="196" t="s">
        <v>97</v>
      </c>
      <c r="H6" s="197"/>
      <c r="I6" s="197"/>
      <c r="J6" s="197"/>
      <c r="K6" s="197"/>
      <c r="L6" s="197"/>
      <c r="M6" s="197"/>
      <c r="N6" s="197"/>
      <c r="O6" s="197"/>
      <c r="P6" s="100"/>
    </row>
    <row r="7" spans="1:16" x14ac:dyDescent="0.25">
      <c r="A7" s="97">
        <v>2</v>
      </c>
      <c r="B7" s="98">
        <v>40000</v>
      </c>
      <c r="C7" s="98">
        <v>78000</v>
      </c>
      <c r="D7" s="98">
        <v>0</v>
      </c>
      <c r="E7" s="99">
        <v>0</v>
      </c>
      <c r="F7" s="83"/>
      <c r="G7" s="196"/>
      <c r="H7" s="197"/>
      <c r="I7" s="197"/>
      <c r="J7" s="197"/>
      <c r="K7" s="197"/>
      <c r="L7" s="197"/>
      <c r="M7" s="197"/>
      <c r="N7" s="197"/>
      <c r="O7" s="197"/>
      <c r="P7" s="96"/>
    </row>
    <row r="8" spans="1:16" x14ac:dyDescent="0.25">
      <c r="A8" s="97">
        <v>3</v>
      </c>
      <c r="B8" s="98">
        <v>40000</v>
      </c>
      <c r="C8" s="98">
        <v>78000</v>
      </c>
      <c r="D8" s="98">
        <v>0</v>
      </c>
      <c r="E8" s="99">
        <v>0</v>
      </c>
      <c r="F8" s="83"/>
      <c r="G8" s="94" t="s">
        <v>98</v>
      </c>
      <c r="H8" s="95"/>
      <c r="I8" s="95"/>
      <c r="J8" s="95"/>
      <c r="K8" s="95"/>
      <c r="L8" s="95"/>
      <c r="M8" s="95"/>
      <c r="N8" s="95"/>
      <c r="O8" s="95"/>
      <c r="P8" s="96"/>
    </row>
    <row r="9" spans="1:16" x14ac:dyDescent="0.25">
      <c r="A9" s="97">
        <v>4</v>
      </c>
      <c r="B9" s="98">
        <v>40000</v>
      </c>
      <c r="C9" s="98">
        <v>78000</v>
      </c>
      <c r="D9" s="98">
        <v>700000</v>
      </c>
      <c r="E9" s="99">
        <v>150000</v>
      </c>
      <c r="F9" s="83"/>
      <c r="G9" s="94" t="s">
        <v>101</v>
      </c>
      <c r="H9" s="95"/>
      <c r="I9" s="95"/>
      <c r="J9" s="95"/>
      <c r="K9" s="95"/>
      <c r="L9" s="95"/>
      <c r="M9" s="95"/>
      <c r="N9" s="95"/>
      <c r="O9" s="95"/>
      <c r="P9" s="96"/>
    </row>
    <row r="10" spans="1:16" x14ac:dyDescent="0.25">
      <c r="A10" s="97" t="s">
        <v>71</v>
      </c>
      <c r="B10" s="101">
        <v>4</v>
      </c>
      <c r="C10" s="101">
        <v>4</v>
      </c>
      <c r="D10" s="101">
        <v>4</v>
      </c>
      <c r="E10" s="102">
        <v>4</v>
      </c>
      <c r="F10" s="83"/>
      <c r="G10" s="94"/>
      <c r="H10" s="95"/>
      <c r="I10" s="95"/>
      <c r="J10" s="95"/>
      <c r="K10" s="95"/>
      <c r="L10" s="95"/>
      <c r="M10" s="95"/>
      <c r="N10" s="95"/>
      <c r="O10" s="95"/>
      <c r="P10" s="96"/>
    </row>
    <row r="11" spans="1:16" ht="21" thickBot="1" x14ac:dyDescent="0.4">
      <c r="A11" s="128" t="s">
        <v>104</v>
      </c>
      <c r="B11" s="129">
        <f>((1+$B$2)^B10-1)/((1+$B$2)^B10*$B$2)</f>
        <v>2.5887345679012346</v>
      </c>
      <c r="C11" s="129">
        <f t="shared" ref="C11:E11" si="0">((1+$B$2)^C10-1)/((1+$B$2)^C10*$B$2)</f>
        <v>2.5887345679012346</v>
      </c>
      <c r="D11" s="129">
        <f t="shared" si="0"/>
        <v>2.5887345679012346</v>
      </c>
      <c r="E11" s="130">
        <f t="shared" si="0"/>
        <v>2.5887345679012346</v>
      </c>
      <c r="F11" s="83"/>
      <c r="G11" s="103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82"/>
      <c r="B12" s="82"/>
      <c r="C12" s="82"/>
      <c r="D12" s="82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x14ac:dyDescent="0.25">
      <c r="A13" s="106" t="s">
        <v>72</v>
      </c>
      <c r="B13" s="82"/>
      <c r="C13" s="82"/>
      <c r="D13" s="82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6.5" thickBot="1" x14ac:dyDescent="0.3">
      <c r="A14" s="107"/>
      <c r="B14" s="82"/>
      <c r="C14" s="82"/>
      <c r="D14" s="82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x14ac:dyDescent="0.25">
      <c r="A15" s="131" t="s">
        <v>38</v>
      </c>
      <c r="B15" s="132">
        <f>B5+NPV($B$2,B6,B7,B8,B9)</f>
        <v>18549.382716049397</v>
      </c>
      <c r="C15" s="132">
        <f t="shared" ref="C15:E15" si="1">C5+NPV($B$2,C6,C7,C8,C9)</f>
        <v>51921.296296296321</v>
      </c>
      <c r="D15" s="132">
        <f t="shared" si="1"/>
        <v>87577.160493827192</v>
      </c>
      <c r="E15" s="133">
        <f t="shared" si="1"/>
        <v>19337.962962962978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x14ac:dyDescent="0.25">
      <c r="A16" s="134"/>
      <c r="B16" s="135"/>
      <c r="C16" s="135"/>
      <c r="D16" s="135"/>
      <c r="E16" s="13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x14ac:dyDescent="0.25">
      <c r="A17" s="134" t="s">
        <v>10</v>
      </c>
      <c r="B17" s="167">
        <f>IRR(B5:B9)</f>
        <v>0.31154992148972638</v>
      </c>
      <c r="C17" s="167">
        <f t="shared" ref="C17:E17" si="2">IRR(C5:C9)</f>
        <v>0.37417314152592174</v>
      </c>
      <c r="D17" s="167">
        <f t="shared" si="2"/>
        <v>0.29356872761677066</v>
      </c>
      <c r="E17" s="167">
        <f t="shared" si="2"/>
        <v>0.23991746335702602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x14ac:dyDescent="0.25">
      <c r="A18" s="134"/>
      <c r="B18" s="137"/>
      <c r="C18" s="137"/>
      <c r="D18" s="137"/>
      <c r="E18" s="13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6.5" thickBot="1" x14ac:dyDescent="0.3">
      <c r="A19" s="139" t="s">
        <v>73</v>
      </c>
      <c r="B19" s="140">
        <f>NPV($B$2,B6,B7,B8,B9)/(-B5)</f>
        <v>1.2182280319535224</v>
      </c>
      <c r="C19" s="140">
        <f t="shared" ref="C19:E19" si="3">NPV($B$2,C6,C7,C8,C9)/(-C5)</f>
        <v>1.3461419753086421</v>
      </c>
      <c r="D19" s="140">
        <f t="shared" si="3"/>
        <v>1.3503086419753088</v>
      </c>
      <c r="E19" s="141">
        <f t="shared" si="3"/>
        <v>1.0511586321771507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5">
      <c r="A20" s="108"/>
      <c r="B20" s="109"/>
      <c r="C20" s="109"/>
      <c r="D20" s="109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x14ac:dyDescent="0.25">
      <c r="A21" s="110" t="s">
        <v>74</v>
      </c>
      <c r="B21" s="111">
        <f>B5+B6/(1+$B$2)</f>
        <v>-51666.666666666664</v>
      </c>
      <c r="C21" s="111">
        <f>C5+C6/(1+$B$2)</f>
        <v>-85000</v>
      </c>
      <c r="D21" s="111">
        <f>D5+D6/(1+$B$2)</f>
        <v>-250000</v>
      </c>
      <c r="E21" s="112">
        <f>E5+E6/(1+$B$2)</f>
        <v>-53000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6.5" thickBot="1" x14ac:dyDescent="0.3">
      <c r="A22" s="113" t="s">
        <v>75</v>
      </c>
      <c r="B22" s="114">
        <f>B5+B6/(1+$B$2)+B7/(1+$B$2)^2</f>
        <v>-23888.888888888887</v>
      </c>
      <c r="C22" s="114">
        <f>C5+C6/(1+$B$2)+C7/(1+$B$2)^2</f>
        <v>-30833.333333333328</v>
      </c>
      <c r="D22" s="114">
        <f>D5+D6/(1+$B$2)+D7/(1+$B$2)^2</f>
        <v>-250000</v>
      </c>
      <c r="E22" s="115">
        <f>E5+E6/(1+$B$2)+E7/(1+$B$2)^2</f>
        <v>-53000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thickBot="1" x14ac:dyDescent="0.3">
      <c r="A23" s="113" t="s">
        <v>76</v>
      </c>
      <c r="B23" s="114">
        <f>B5+B6/(1+$B$2)+B7/(1+$B$2)^2+B8/(1+$B$2)^3</f>
        <v>-740.74074074073724</v>
      </c>
      <c r="C23" s="142">
        <f>C5+C6/(1+$B$2)+C7/(1+$B$2)^2+C8/(1+$B$2)^3</f>
        <v>14305.555555555562</v>
      </c>
      <c r="D23" s="114">
        <f>D5+D6/(1+$B$2)+D7/(1+$B$2)^2+D8/(1+$B$2)^3</f>
        <v>-250000</v>
      </c>
      <c r="E23" s="115">
        <f>E5+E6/(1+$B$2)+E7/(1+$B$2)^2+E8/(1+$B$2)^3</f>
        <v>-53000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6.5" thickBot="1" x14ac:dyDescent="0.3">
      <c r="A24" s="113" t="s">
        <v>77</v>
      </c>
      <c r="B24" s="142">
        <f>B5+B6/(1+$B$2)+B7/(1+$B$2)^2+B8/(1+$B$2)^3+B9/(1+$B$2)^4</f>
        <v>18549.382716049386</v>
      </c>
      <c r="C24" s="114">
        <f>C5+C6/(1+$B$2)+C7/(1+$B$2)^2+C8/(1+$B$2)^3+C9/(1+$B$2)^4</f>
        <v>51921.296296296307</v>
      </c>
      <c r="D24" s="142">
        <f>D5+D6/(1+$B$2)+D7/(1+$B$2)^2+D8/(1+$B$2)^3+D9/(1+$B$2)^4</f>
        <v>87577.160493827192</v>
      </c>
      <c r="E24" s="142">
        <f>E5+E6/(1+$B$2)+E7/(1+$B$2)^2+E8/(1+$B$2)^3+E9/(1+$B$2)^4</f>
        <v>19337.962962962964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6.5" thickBot="1" x14ac:dyDescent="0.3">
      <c r="A25" s="145" t="s">
        <v>78</v>
      </c>
      <c r="B25" s="143" t="s">
        <v>79</v>
      </c>
      <c r="C25" s="143" t="s">
        <v>80</v>
      </c>
      <c r="D25" s="143" t="s">
        <v>81</v>
      </c>
      <c r="E25" s="144" t="s">
        <v>79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6.5" thickBot="1" x14ac:dyDescent="0.3">
      <c r="A26" s="116"/>
      <c r="B26" s="117"/>
      <c r="C26" s="117"/>
      <c r="D26" s="117"/>
      <c r="E26" s="117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ht="16.5" thickBot="1" x14ac:dyDescent="0.3">
      <c r="A27" s="145" t="s">
        <v>82</v>
      </c>
      <c r="B27" s="146">
        <f>B15/B11</f>
        <v>7165.4247391952367</v>
      </c>
      <c r="C27" s="146">
        <f>C15/C11</f>
        <v>20056.631892697475</v>
      </c>
      <c r="D27" s="146">
        <f>D15/D11</f>
        <v>33830.104321907609</v>
      </c>
      <c r="E27" s="147">
        <f>E15/E11</f>
        <v>7470.0447093889779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x14ac:dyDescent="0.25">
      <c r="A28" s="82"/>
      <c r="B28" s="118"/>
      <c r="C28" s="82"/>
      <c r="D28" s="82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x14ac:dyDescent="0.25">
      <c r="A29" s="106" t="s">
        <v>83</v>
      </c>
      <c r="B29" s="118"/>
      <c r="C29" s="82"/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x14ac:dyDescent="0.25">
      <c r="A30" s="107" t="s">
        <v>99</v>
      </c>
      <c r="B30" s="108"/>
      <c r="C30" s="108"/>
      <c r="D30" s="108"/>
      <c r="E30" s="108"/>
      <c r="F30" s="119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x14ac:dyDescent="0.25">
      <c r="A31" s="107" t="s">
        <v>84</v>
      </c>
      <c r="B31" s="108"/>
      <c r="C31" s="108"/>
      <c r="D31" s="108"/>
      <c r="E31" s="108"/>
      <c r="F31" s="119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x14ac:dyDescent="0.25">
      <c r="A32" s="107" t="s">
        <v>100</v>
      </c>
      <c r="B32" s="108"/>
      <c r="C32" s="108"/>
      <c r="D32" s="108"/>
      <c r="E32" s="108"/>
      <c r="F32" s="119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ht="16.5" thickBot="1" x14ac:dyDescent="0.3">
      <c r="A33" s="107" t="s">
        <v>85</v>
      </c>
      <c r="B33" s="108"/>
      <c r="C33" s="108"/>
      <c r="D33" s="108"/>
      <c r="E33" s="108"/>
      <c r="F33" s="119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x14ac:dyDescent="0.25">
      <c r="A34" s="148" t="s">
        <v>86</v>
      </c>
      <c r="B34" s="149"/>
      <c r="C34" s="150"/>
      <c r="D34" s="82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x14ac:dyDescent="0.25">
      <c r="A35" s="151" t="s">
        <v>87</v>
      </c>
      <c r="B35" s="152"/>
      <c r="C35" s="153"/>
      <c r="D35" s="82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ht="16.5" thickBot="1" x14ac:dyDescent="0.3">
      <c r="A36" s="154" t="s">
        <v>88</v>
      </c>
      <c r="B36" s="155"/>
      <c r="C36" s="156"/>
      <c r="D36" s="82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x14ac:dyDescent="0.25">
      <c r="A37" s="82"/>
      <c r="B37" s="82"/>
      <c r="C37" s="82"/>
      <c r="D37" s="82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x14ac:dyDescent="0.25">
      <c r="A38" s="106" t="s">
        <v>89</v>
      </c>
      <c r="B38" s="82"/>
      <c r="C38" s="82"/>
      <c r="D38" s="82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x14ac:dyDescent="0.25">
      <c r="A39" s="82"/>
      <c r="B39" s="82"/>
      <c r="C39" s="82"/>
      <c r="D39" s="82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x14ac:dyDescent="0.25">
      <c r="A40" s="157" t="s">
        <v>90</v>
      </c>
      <c r="B40" s="158"/>
      <c r="C40" s="158"/>
      <c r="D40" s="158"/>
      <c r="E40" s="158"/>
      <c r="F40" s="159"/>
      <c r="G40" s="159"/>
      <c r="H40" s="159"/>
      <c r="I40" s="159"/>
      <c r="J40" s="160"/>
      <c r="K40" s="83"/>
      <c r="L40" s="83"/>
      <c r="M40" s="83"/>
      <c r="N40" s="83"/>
      <c r="O40" s="83"/>
      <c r="P40" s="83"/>
    </row>
    <row r="41" spans="1:16" x14ac:dyDescent="0.25">
      <c r="A41" s="157" t="s">
        <v>105</v>
      </c>
      <c r="B41" s="158"/>
      <c r="C41" s="158"/>
      <c r="D41" s="158"/>
      <c r="E41" s="158"/>
      <c r="F41" s="159"/>
      <c r="G41" s="159"/>
      <c r="H41" s="159"/>
      <c r="I41" s="159"/>
      <c r="J41" s="160"/>
      <c r="K41" s="83"/>
      <c r="L41" s="83"/>
      <c r="M41" s="83"/>
      <c r="N41" s="83"/>
      <c r="O41" s="83"/>
      <c r="P41" s="83"/>
    </row>
    <row r="42" spans="1:16" ht="16.5" thickBot="1" x14ac:dyDescent="0.3">
      <c r="A42" s="120"/>
      <c r="B42" s="82"/>
      <c r="C42" s="82"/>
      <c r="D42" s="82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ht="32.25" thickBot="1" x14ac:dyDescent="0.3">
      <c r="A43" s="121" t="s">
        <v>91</v>
      </c>
      <c r="B43" s="122" t="s">
        <v>92</v>
      </c>
      <c r="C43" s="122" t="s">
        <v>93</v>
      </c>
      <c r="D43" s="123" t="s">
        <v>94</v>
      </c>
      <c r="E43" s="82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x14ac:dyDescent="0.25">
      <c r="A44" s="124">
        <v>0.01</v>
      </c>
      <c r="B44" s="92">
        <f>$B$5+NPV(A44,$B$6,$B$7,$B$8,$B$9)</f>
        <v>71078.622068734869</v>
      </c>
      <c r="C44" s="92">
        <f>$D$5+NPV(A44,$D$6,$D$7,$D$8,$D$9)</f>
        <v>422686.24113797152</v>
      </c>
      <c r="D44" s="161" t="s">
        <v>0</v>
      </c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x14ac:dyDescent="0.25">
      <c r="A45" s="125">
        <f>A44+1%</f>
        <v>0.02</v>
      </c>
      <c r="B45" s="98">
        <f t="shared" ref="B45:B93" si="4">$B$5+NPV(A45,$B$6,$B$7,$B$8,$B$9)</f>
        <v>67309.147946971585</v>
      </c>
      <c r="C45" s="98">
        <f t="shared" ref="C45:C93" si="5">$D$5+NPV(A45,$D$6,$D$7,$D$8,$D$9)</f>
        <v>396691.79821855994</v>
      </c>
      <c r="D45" s="162" t="s">
        <v>0</v>
      </c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x14ac:dyDescent="0.25">
      <c r="A46" s="125">
        <f t="shared" ref="A46:A93" si="6">A45+1%</f>
        <v>0.03</v>
      </c>
      <c r="B46" s="98">
        <f t="shared" si="4"/>
        <v>63683.936112414784</v>
      </c>
      <c r="C46" s="98">
        <f t="shared" si="5"/>
        <v>371940.93354098219</v>
      </c>
      <c r="D46" s="162" t="s">
        <v>0</v>
      </c>
      <c r="E46" s="82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x14ac:dyDescent="0.25">
      <c r="A47" s="125">
        <f t="shared" si="6"/>
        <v>0.04</v>
      </c>
      <c r="B47" s="98">
        <f t="shared" si="4"/>
        <v>60195.808970274142</v>
      </c>
      <c r="C47" s="98">
        <f t="shared" si="5"/>
        <v>348362.93372080801</v>
      </c>
      <c r="D47" s="162" t="s">
        <v>0</v>
      </c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x14ac:dyDescent="0.25">
      <c r="A48" s="125">
        <f t="shared" si="6"/>
        <v>0.05</v>
      </c>
      <c r="B48" s="98">
        <f t="shared" si="4"/>
        <v>56838.020166494389</v>
      </c>
      <c r="C48" s="98">
        <f t="shared" si="5"/>
        <v>325891.73235431733</v>
      </c>
      <c r="D48" s="162" t="s">
        <v>0</v>
      </c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x14ac:dyDescent="0.25">
      <c r="A49" s="125">
        <f t="shared" si="6"/>
        <v>6.0000000000000005E-2</v>
      </c>
      <c r="B49" s="98">
        <f t="shared" si="4"/>
        <v>53604.224507986248</v>
      </c>
      <c r="C49" s="98">
        <f t="shared" si="5"/>
        <v>304465.56426661415</v>
      </c>
      <c r="D49" s="162" t="s">
        <v>0</v>
      </c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x14ac:dyDescent="0.25">
      <c r="A50" s="125">
        <f t="shared" si="6"/>
        <v>7.0000000000000007E-2</v>
      </c>
      <c r="B50" s="98">
        <f t="shared" si="4"/>
        <v>50488.450258557015</v>
      </c>
      <c r="C50" s="98">
        <f t="shared" si="5"/>
        <v>284026.64843326749</v>
      </c>
      <c r="D50" s="162" t="s">
        <v>0</v>
      </c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x14ac:dyDescent="0.25">
      <c r="A51" s="125">
        <f t="shared" si="6"/>
        <v>0.08</v>
      </c>
      <c r="B51" s="98">
        <f t="shared" si="4"/>
        <v>47485.073601773271</v>
      </c>
      <c r="C51" s="98">
        <f t="shared" si="5"/>
        <v>264520.89695751725</v>
      </c>
      <c r="D51" s="162" t="s">
        <v>0</v>
      </c>
      <c r="E51" s="82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x14ac:dyDescent="0.25">
      <c r="A52" s="125">
        <f t="shared" si="6"/>
        <v>0.09</v>
      </c>
      <c r="B52" s="98">
        <f t="shared" si="4"/>
        <v>44588.795082134835</v>
      </c>
      <c r="C52" s="98">
        <f t="shared" si="5"/>
        <v>245897.64774563751</v>
      </c>
      <c r="D52" s="162" t="s">
        <v>0</v>
      </c>
      <c r="E52" s="82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x14ac:dyDescent="0.25">
      <c r="A53" s="125">
        <f t="shared" si="6"/>
        <v>9.9999999999999992E-2</v>
      </c>
      <c r="B53" s="98">
        <f t="shared" si="4"/>
        <v>41794.617853971678</v>
      </c>
      <c r="C53" s="98">
        <f t="shared" si="5"/>
        <v>228109.41875554936</v>
      </c>
      <c r="D53" s="162" t="s">
        <v>0</v>
      </c>
      <c r="E53" s="82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x14ac:dyDescent="0.25">
      <c r="A54" s="125">
        <f t="shared" si="6"/>
        <v>0.10999999999999999</v>
      </c>
      <c r="B54" s="98">
        <f t="shared" si="4"/>
        <v>39097.827583636274</v>
      </c>
      <c r="C54" s="98">
        <f t="shared" si="5"/>
        <v>211111.68190150039</v>
      </c>
      <c r="D54" s="162" t="s">
        <v>0</v>
      </c>
      <c r="E54" s="82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x14ac:dyDescent="0.25">
      <c r="A55" s="125">
        <f t="shared" si="6"/>
        <v>0.11999999999999998</v>
      </c>
      <c r="B55" s="98">
        <f t="shared" si="4"/>
        <v>36493.973865056265</v>
      </c>
      <c r="C55" s="98">
        <f t="shared" si="5"/>
        <v>194862.65488338214</v>
      </c>
      <c r="D55" s="162" t="s">
        <v>0</v>
      </c>
      <c r="E55" s="82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x14ac:dyDescent="0.25">
      <c r="A56" s="125">
        <f t="shared" si="6"/>
        <v>0.12999999999999998</v>
      </c>
      <c r="B56" s="98">
        <f t="shared" si="4"/>
        <v>33978.85302173032</v>
      </c>
      <c r="C56" s="98">
        <f t="shared" si="5"/>
        <v>179323.1093755638</v>
      </c>
      <c r="D56" s="162" t="s">
        <v>0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x14ac:dyDescent="0.25">
      <c r="A57" s="125">
        <f t="shared" si="6"/>
        <v>0.13999999999999999</v>
      </c>
      <c r="B57" s="98">
        <f t="shared" si="4"/>
        <v>31548.49217994581</v>
      </c>
      <c r="C57" s="98">
        <f t="shared" si="5"/>
        <v>164456.19415913295</v>
      </c>
      <c r="D57" s="162" t="s">
        <v>0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x14ac:dyDescent="0.25">
      <c r="A58" s="125">
        <f t="shared" si="6"/>
        <v>0.15</v>
      </c>
      <c r="B58" s="98">
        <f t="shared" si="4"/>
        <v>29199.134508524498</v>
      </c>
      <c r="C58" s="98">
        <f t="shared" si="5"/>
        <v>150227.27191512339</v>
      </c>
      <c r="D58" s="162" t="s">
        <v>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  <row r="59" spans="1:16" x14ac:dyDescent="0.25">
      <c r="A59" s="125">
        <f t="shared" si="6"/>
        <v>0.16</v>
      </c>
      <c r="B59" s="98">
        <f t="shared" si="4"/>
        <v>26927.225529881354</v>
      </c>
      <c r="C59" s="98">
        <f t="shared" si="5"/>
        <v>136603.76851633232</v>
      </c>
      <c r="D59" s="162" t="s">
        <v>0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 x14ac:dyDescent="0.25">
      <c r="A60" s="125">
        <f t="shared" si="6"/>
        <v>0.17</v>
      </c>
      <c r="B60" s="98">
        <f t="shared" si="4"/>
        <v>24729.400415727287</v>
      </c>
      <c r="C60" s="98">
        <f t="shared" si="5"/>
        <v>123555.03376321145</v>
      </c>
      <c r="D60" s="162" t="s">
        <v>0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6" x14ac:dyDescent="0.25">
      <c r="A61" s="125">
        <f t="shared" si="6"/>
        <v>0.18000000000000002</v>
      </c>
      <c r="B61" s="98">
        <f t="shared" si="4"/>
        <v>22602.472188457541</v>
      </c>
      <c r="C61" s="98">
        <f t="shared" si="5"/>
        <v>111052.21260635881</v>
      </c>
      <c r="D61" s="162" t="s">
        <v>0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1:16" x14ac:dyDescent="0.25">
      <c r="A62" s="125">
        <f t="shared" si="6"/>
        <v>0.19000000000000003</v>
      </c>
      <c r="B62" s="98">
        <f t="shared" si="4"/>
        <v>20543.420756232052</v>
      </c>
      <c r="C62" s="98">
        <f t="shared" si="5"/>
        <v>99068.125985528459</v>
      </c>
      <c r="D62" s="162" t="s">
        <v>0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x14ac:dyDescent="0.25">
      <c r="A63" s="125">
        <f t="shared" si="6"/>
        <v>0.20000000000000004</v>
      </c>
      <c r="B63" s="98">
        <f t="shared" si="4"/>
        <v>18549.382716049397</v>
      </c>
      <c r="C63" s="98">
        <f t="shared" si="5"/>
        <v>87577.160493827192</v>
      </c>
      <c r="D63" s="162" t="s">
        <v>0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x14ac:dyDescent="0.25">
      <c r="A64" s="125">
        <f t="shared" si="6"/>
        <v>0.21000000000000005</v>
      </c>
      <c r="B64" s="98">
        <f t="shared" si="4"/>
        <v>16617.641864812686</v>
      </c>
      <c r="C64" s="98">
        <f t="shared" si="5"/>
        <v>76555.166146813426</v>
      </c>
      <c r="D64" s="162" t="s">
        <v>0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  <row r="65" spans="1:16" x14ac:dyDescent="0.25">
      <c r="A65" s="125">
        <f t="shared" si="6"/>
        <v>0.22000000000000006</v>
      </c>
      <c r="B65" s="98">
        <f t="shared" si="4"/>
        <v>14745.620363544556</v>
      </c>
      <c r="C65" s="98">
        <f t="shared" si="5"/>
        <v>65979.361600353557</v>
      </c>
      <c r="D65" s="162" t="s">
        <v>0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x14ac:dyDescent="0.25">
      <c r="A66" s="125">
        <f t="shared" si="6"/>
        <v>0.23000000000000007</v>
      </c>
      <c r="B66" s="98">
        <f t="shared" si="4"/>
        <v>12930.870504583101</v>
      </c>
      <c r="C66" s="98">
        <f t="shared" si="5"/>
        <v>55828.24621905305</v>
      </c>
      <c r="D66" s="162" t="s">
        <v>0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x14ac:dyDescent="0.25">
      <c r="A67" s="125">
        <f t="shared" si="6"/>
        <v>0.24000000000000007</v>
      </c>
      <c r="B67" s="98">
        <f t="shared" si="4"/>
        <v>11171.067035833505</v>
      </c>
      <c r="C67" s="98">
        <f t="shared" si="5"/>
        <v>46081.518449499214</v>
      </c>
      <c r="D67" s="162" t="s">
        <v>0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x14ac:dyDescent="0.25">
      <c r="A68" s="125">
        <f t="shared" si="6"/>
        <v>0.25000000000000006</v>
      </c>
      <c r="B68" s="98">
        <f t="shared" si="4"/>
        <v>9464</v>
      </c>
      <c r="C68" s="98">
        <f t="shared" si="5"/>
        <v>36720</v>
      </c>
      <c r="D68" s="162" t="s">
        <v>0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x14ac:dyDescent="0.25">
      <c r="A69" s="125">
        <f t="shared" si="6"/>
        <v>0.26000000000000006</v>
      </c>
      <c r="B69" s="98">
        <f t="shared" si="4"/>
        <v>7807.5680502224277</v>
      </c>
      <c r="C69" s="98">
        <f t="shared" si="5"/>
        <v>27725.565371487872</v>
      </c>
      <c r="D69" s="162" t="s">
        <v>0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x14ac:dyDescent="0.25">
      <c r="A70" s="125">
        <f t="shared" si="6"/>
        <v>0.27000000000000007</v>
      </c>
      <c r="B70" s="98">
        <f t="shared" si="4"/>
        <v>6199.7722067240247</v>
      </c>
      <c r="C70" s="98">
        <f t="shared" si="5"/>
        <v>19081.076323229005</v>
      </c>
      <c r="D70" s="162" t="s">
        <v>0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1" spans="1:16" x14ac:dyDescent="0.25">
      <c r="A71" s="164">
        <f t="shared" si="6"/>
        <v>0.28000000000000008</v>
      </c>
      <c r="B71" s="165">
        <f t="shared" si="4"/>
        <v>4638.7100219726562</v>
      </c>
      <c r="C71" s="165">
        <f t="shared" si="5"/>
        <v>10770.320892333926</v>
      </c>
      <c r="D71" s="162" t="s">
        <v>0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</row>
    <row r="72" spans="1:16" x14ac:dyDescent="0.25">
      <c r="A72" s="164">
        <f t="shared" si="6"/>
        <v>0.29000000000000009</v>
      </c>
      <c r="B72" s="165">
        <f t="shared" si="4"/>
        <v>3122.5701244961238</v>
      </c>
      <c r="C72" s="165">
        <f t="shared" si="5"/>
        <v>2777.956618182041</v>
      </c>
      <c r="D72" s="162" t="s">
        <v>12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1:16" x14ac:dyDescent="0.25">
      <c r="A73" s="125">
        <f t="shared" si="6"/>
        <v>0.3000000000000001</v>
      </c>
      <c r="B73" s="98">
        <f t="shared" si="4"/>
        <v>1649.6271138965531</v>
      </c>
      <c r="C73" s="98">
        <f t="shared" si="5"/>
        <v>-4910.5423479570891</v>
      </c>
      <c r="D73" s="162" t="s">
        <v>12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25">
      <c r="A74" s="125">
        <f t="shared" si="6"/>
        <v>0.31000000000000011</v>
      </c>
      <c r="B74" s="98">
        <f t="shared" si="4"/>
        <v>218.23678180202842</v>
      </c>
      <c r="C74" s="98">
        <f t="shared" si="5"/>
        <v>-12308.93454127622</v>
      </c>
      <c r="D74" s="162" t="s">
        <v>12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1:16" x14ac:dyDescent="0.25">
      <c r="A75" s="125">
        <f t="shared" si="6"/>
        <v>0.32000000000000012</v>
      </c>
      <c r="B75" s="98">
        <f t="shared" si="4"/>
        <v>-1173.1683645032026</v>
      </c>
      <c r="C75" s="98">
        <f t="shared" si="5"/>
        <v>-19430.2571587821</v>
      </c>
      <c r="D75" s="162" t="s">
        <v>12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</row>
    <row r="76" spans="1:16" x14ac:dyDescent="0.25">
      <c r="A76" s="125">
        <f t="shared" si="6"/>
        <v>0.33000000000000013</v>
      </c>
      <c r="B76" s="98">
        <f t="shared" si="4"/>
        <v>-2526.0832972002099</v>
      </c>
      <c r="C76" s="98">
        <f t="shared" si="5"/>
        <v>-26286.868958668871</v>
      </c>
      <c r="D76" s="162" t="s">
        <v>12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1:16" x14ac:dyDescent="0.25">
      <c r="A77" s="125">
        <f t="shared" si="6"/>
        <v>0.34000000000000014</v>
      </c>
      <c r="B77" s="98">
        <f t="shared" si="4"/>
        <v>-3841.9344015650568</v>
      </c>
      <c r="C77" s="98">
        <f t="shared" si="5"/>
        <v>-32890.490310687979</v>
      </c>
      <c r="D77" s="162" t="s">
        <v>12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16" x14ac:dyDescent="0.25">
      <c r="A78" s="125">
        <f t="shared" si="6"/>
        <v>0.35000000000000014</v>
      </c>
      <c r="B78" s="98">
        <f t="shared" si="4"/>
        <v>-5122.0831663345598</v>
      </c>
      <c r="C78" s="98">
        <f t="shared" si="5"/>
        <v>-39252.24060620091</v>
      </c>
      <c r="D78" s="162" t="s">
        <v>12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</row>
    <row r="79" spans="1:16" x14ac:dyDescent="0.25">
      <c r="A79" s="125">
        <f t="shared" si="6"/>
        <v>0.36000000000000015</v>
      </c>
      <c r="B79" s="98">
        <f t="shared" si="4"/>
        <v>-6367.8296476335381</v>
      </c>
      <c r="C79" s="98">
        <f t="shared" si="5"/>
        <v>-45382.673219908844</v>
      </c>
      <c r="D79" s="162" t="s">
        <v>12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1:16" x14ac:dyDescent="0.25">
      <c r="A80" s="125">
        <f t="shared" si="6"/>
        <v>0.37000000000000016</v>
      </c>
      <c r="B80" s="98">
        <f t="shared" si="4"/>
        <v>-7580.4157220067573</v>
      </c>
      <c r="C80" s="98">
        <f t="shared" si="5"/>
        <v>-51291.808200006402</v>
      </c>
      <c r="D80" s="162" t="s">
        <v>12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</row>
    <row r="81" spans="1:16" x14ac:dyDescent="0.25">
      <c r="A81" s="125">
        <f t="shared" si="6"/>
        <v>0.38000000000000017</v>
      </c>
      <c r="B81" s="98">
        <f t="shared" si="4"/>
        <v>-8761.0281429212191</v>
      </c>
      <c r="C81" s="98">
        <f t="shared" si="5"/>
        <v>-56989.162849574117</v>
      </c>
      <c r="D81" s="162" t="s">
        <v>12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x14ac:dyDescent="0.25">
      <c r="A82" s="125">
        <f t="shared" si="6"/>
        <v>0.39000000000000018</v>
      </c>
      <c r="B82" s="98">
        <f t="shared" si="4"/>
        <v>-9910.80141402554</v>
      </c>
      <c r="C82" s="98">
        <f t="shared" si="5"/>
        <v>-62483.780349275883</v>
      </c>
      <c r="D82" s="162" t="s">
        <v>12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1:16" x14ac:dyDescent="0.25">
      <c r="A83" s="125">
        <f t="shared" si="6"/>
        <v>0.40000000000000019</v>
      </c>
      <c r="B83" s="98">
        <f t="shared" si="4"/>
        <v>-11030.820491461913</v>
      </c>
      <c r="C83" s="98">
        <f t="shared" si="5"/>
        <v>-67784.256559766829</v>
      </c>
      <c r="D83" s="162" t="s">
        <v>12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16" x14ac:dyDescent="0.25">
      <c r="A84" s="125">
        <f t="shared" si="6"/>
        <v>0.4100000000000002</v>
      </c>
      <c r="B84" s="98">
        <f t="shared" si="4"/>
        <v>-12122.123326615678</v>
      </c>
      <c r="C84" s="98">
        <f t="shared" si="5"/>
        <v>-72898.765131532768</v>
      </c>
      <c r="D84" s="162" t="s">
        <v>12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1:16" x14ac:dyDescent="0.25">
      <c r="A85" s="125">
        <f t="shared" si="6"/>
        <v>0.42000000000000021</v>
      </c>
      <c r="B85" s="98">
        <f t="shared" si="4"/>
        <v>-13185.70325985126</v>
      </c>
      <c r="C85" s="98">
        <f t="shared" si="5"/>
        <v>-77835.081040093413</v>
      </c>
      <c r="D85" s="162" t="s">
        <v>12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16" x14ac:dyDescent="0.25">
      <c r="A86" s="125">
        <f t="shared" si="6"/>
        <v>0.43000000000000022</v>
      </c>
      <c r="B86" s="98">
        <f t="shared" si="4"/>
        <v>-14222.51127501305</v>
      </c>
      <c r="C86" s="98">
        <f t="shared" si="5"/>
        <v>-82600.602655527036</v>
      </c>
      <c r="D86" s="162" t="s">
        <v>12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1:16" x14ac:dyDescent="0.25">
      <c r="A87" s="125">
        <f t="shared" si="6"/>
        <v>0.44000000000000022</v>
      </c>
      <c r="B87" s="98">
        <f t="shared" si="4"/>
        <v>-15233.458123761637</v>
      </c>
      <c r="C87" s="98">
        <f t="shared" si="5"/>
        <v>-87202.372447035566</v>
      </c>
      <c r="D87" s="162" t="s">
        <v>12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</row>
    <row r="88" spans="1:16" x14ac:dyDescent="0.25">
      <c r="A88" s="125">
        <f t="shared" si="6"/>
        <v>0.45000000000000023</v>
      </c>
      <c r="B88" s="98">
        <f t="shared" si="4"/>
        <v>-16219.416328163788</v>
      </c>
      <c r="C88" s="98">
        <f t="shared" si="5"/>
        <v>-91647.096415710374</v>
      </c>
      <c r="D88" s="162" t="s">
        <v>12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1:16" x14ac:dyDescent="0.25">
      <c r="A89" s="125">
        <f t="shared" si="6"/>
        <v>0.46000000000000024</v>
      </c>
      <c r="B89" s="98">
        <f t="shared" si="4"/>
        <v>-17181.222069352836</v>
      </c>
      <c r="C89" s="98">
        <f t="shared" si="5"/>
        <v>-95941.162341709918</v>
      </c>
      <c r="D89" s="162" t="s">
        <v>12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x14ac:dyDescent="0.25">
      <c r="A90" s="125">
        <f t="shared" si="6"/>
        <v>0.47000000000000025</v>
      </c>
      <c r="B90" s="98">
        <f t="shared" si="4"/>
        <v>-18119.676969522508</v>
      </c>
      <c r="C90" s="98">
        <f t="shared" si="5"/>
        <v>-100090.65692567758</v>
      </c>
      <c r="D90" s="162" t="s">
        <v>12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spans="1:16" x14ac:dyDescent="0.25">
      <c r="A91" s="125">
        <f t="shared" si="6"/>
        <v>0.48000000000000026</v>
      </c>
      <c r="B91" s="98">
        <f t="shared" si="4"/>
        <v>-19035.549774005558</v>
      </c>
      <c r="C91" s="98">
        <f t="shared" si="5"/>
        <v>-104101.38189835355</v>
      </c>
      <c r="D91" s="162" t="s">
        <v>12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1:16" x14ac:dyDescent="0.25">
      <c r="A92" s="125">
        <f t="shared" si="6"/>
        <v>0.49000000000000027</v>
      </c>
      <c r="B92" s="98">
        <f t="shared" si="4"/>
        <v>-19929.577939716561</v>
      </c>
      <c r="C92" s="98">
        <f t="shared" si="5"/>
        <v>-107978.86916693079</v>
      </c>
      <c r="D92" s="162" t="s">
        <v>12</v>
      </c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1:16" ht="16.5" thickBot="1" x14ac:dyDescent="0.3">
      <c r="A93" s="126">
        <f t="shared" si="6"/>
        <v>0.50000000000000022</v>
      </c>
      <c r="B93" s="127">
        <f t="shared" si="4"/>
        <v>-20802.469135802501</v>
      </c>
      <c r="C93" s="127">
        <f t="shared" si="5"/>
        <v>-111728.39506172849</v>
      </c>
      <c r="D93" s="163" t="s">
        <v>12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spans="1:16" x14ac:dyDescent="0.25">
      <c r="A94" s="81"/>
      <c r="B94" s="82"/>
      <c r="C94" s="82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</row>
    <row r="95" spans="1:16" x14ac:dyDescent="0.25">
      <c r="A95" s="81"/>
      <c r="B95" s="82"/>
      <c r="C95" s="82"/>
      <c r="D95" s="82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</row>
  </sheetData>
  <mergeCells count="1">
    <mergeCell ref="G6:O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TIR</vt:lpstr>
      <vt:lpstr>TIR 1</vt:lpstr>
      <vt:lpstr>Custo Mensal</vt:lpstr>
      <vt:lpstr>TIR e VPL</vt:lpstr>
      <vt:lpstr>Taxa de Desconto</vt:lpstr>
      <vt:lpstr>Melhor Projeto</vt:lpstr>
      <vt:lpstr>Menor Custo</vt:lpstr>
      <vt:lpstr>Projeto Mais Viável</vt:lpstr>
      <vt:lpstr>VPL_TIR_CB_PB_AE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Lucimari</dc:creator>
  <cp:lastModifiedBy>Lucimari</cp:lastModifiedBy>
  <dcterms:created xsi:type="dcterms:W3CDTF">2017-08-19T00:37:41Z</dcterms:created>
  <dcterms:modified xsi:type="dcterms:W3CDTF">2018-01-18T18:21:42Z</dcterms:modified>
</cp:coreProperties>
</file>